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UCCEK-PDC\redirectedfolders$\griggs\Desktop\"/>
    </mc:Choice>
  </mc:AlternateContent>
  <xr:revisionPtr revIDLastSave="0" documentId="8_{3A1A2F8D-8B68-4611-B54A-42F3E6BFB474}" xr6:coauthVersionLast="47" xr6:coauthVersionMax="47" xr10:uidLastSave="{00000000-0000-0000-0000-000000000000}"/>
  <bookViews>
    <workbookView xWindow="3160" yWindow="330" windowWidth="15330" windowHeight="15360" tabRatio="848" activeTab="2" xr2:uid="{D09B4C5C-0B7F-4C03-A2CA-C92A3742BC61}"/>
  </bookViews>
  <sheets>
    <sheet name="Hours to fill" sheetId="1" r:id="rId1"/>
    <sheet name="Almnd 20x22-0.30ET" sheetId="4" r:id="rId2"/>
    <sheet name="Pistachio 19x17-0.30ET" sheetId="10" r:id="rId3"/>
    <sheet name="Almnd 20x22-0.28ET" sheetId="6" r:id="rId4"/>
    <sheet name="Almnd 20x22-0.25ET" sheetId="8" r:id="rId5"/>
    <sheet name="Citrus-Almnd 20x22-0.20ET" sheetId="9" r:id="rId6"/>
    <sheet name="Citrus 20x20-0.20ET" sheetId="5" r:id="rId7"/>
    <sheet name="Flood-Soil Interval English-NSJ" sheetId="7" r:id="rId8"/>
    <sheet name="Time to get to end" sheetId="2" r:id="rId9"/>
    <sheet name="Sheet3" sheetId="3"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2" l="1"/>
  <c r="O2" i="2"/>
  <c r="Q2" i="2"/>
  <c r="D5" i="2"/>
  <c r="E5" i="2"/>
  <c r="F5" i="2"/>
  <c r="G5" i="2"/>
  <c r="H5" i="2"/>
  <c r="I5" i="2"/>
  <c r="A6" i="2"/>
  <c r="B6" i="2"/>
  <c r="C6" i="2"/>
  <c r="D6" i="2"/>
  <c r="E6" i="2"/>
  <c r="F6" i="2"/>
  <c r="G6" i="2"/>
  <c r="H6" i="2"/>
  <c r="I6" i="2"/>
  <c r="K6" i="2"/>
  <c r="A7" i="2"/>
  <c r="B7" i="2"/>
  <c r="C7" i="2"/>
  <c r="D7" i="2"/>
  <c r="E7" i="2"/>
  <c r="F7" i="2"/>
  <c r="G7" i="2"/>
  <c r="H7" i="2"/>
  <c r="I7" i="2"/>
  <c r="K7" i="2"/>
  <c r="A8" i="2"/>
  <c r="B8" i="2"/>
  <c r="C8" i="2"/>
  <c r="D8" i="2"/>
  <c r="E8" i="2"/>
  <c r="F8" i="2"/>
  <c r="G8" i="2"/>
  <c r="H8" i="2"/>
  <c r="I8" i="2"/>
  <c r="K8" i="2"/>
  <c r="A9" i="2"/>
  <c r="B9" i="2"/>
  <c r="C9" i="2"/>
  <c r="D9" i="2"/>
  <c r="E9" i="2"/>
  <c r="F9" i="2"/>
  <c r="G9" i="2"/>
  <c r="H9" i="2"/>
  <c r="I9" i="2"/>
  <c r="K9" i="2"/>
  <c r="A10" i="2"/>
  <c r="B10" i="2"/>
  <c r="C10" i="2"/>
  <c r="D10" i="2"/>
  <c r="E10" i="2"/>
  <c r="F10" i="2"/>
  <c r="G10" i="2"/>
  <c r="H10" i="2"/>
  <c r="I10" i="2"/>
  <c r="K10" i="2"/>
  <c r="A11" i="2"/>
  <c r="B11" i="2"/>
  <c r="C11" i="2"/>
  <c r="D11" i="2"/>
  <c r="E11" i="2"/>
  <c r="F11" i="2"/>
  <c r="G11" i="2"/>
  <c r="H11" i="2"/>
  <c r="I11" i="2"/>
  <c r="K11" i="2"/>
  <c r="A12" i="2"/>
  <c r="B12" i="2"/>
  <c r="C12" i="2"/>
  <c r="D12" i="2"/>
  <c r="E12" i="2"/>
  <c r="F12" i="2"/>
  <c r="G12" i="2"/>
  <c r="H12" i="2"/>
  <c r="I12" i="2"/>
  <c r="K12" i="2"/>
  <c r="A13" i="2"/>
  <c r="B13" i="2"/>
  <c r="C13" i="2"/>
  <c r="D13" i="2"/>
  <c r="E13" i="2"/>
  <c r="F13" i="2"/>
  <c r="G13" i="2"/>
  <c r="H13" i="2"/>
  <c r="I13" i="2"/>
  <c r="K13" i="2"/>
  <c r="A14" i="2"/>
  <c r="B14" i="2"/>
  <c r="C14" i="2"/>
  <c r="D14" i="2"/>
  <c r="E14" i="2"/>
  <c r="F14" i="2"/>
  <c r="G14" i="2"/>
  <c r="H14" i="2"/>
  <c r="I14" i="2"/>
  <c r="K14" i="2"/>
  <c r="A15" i="2"/>
  <c r="B15" i="2"/>
  <c r="C15" i="2"/>
  <c r="D15" i="2"/>
  <c r="E15" i="2"/>
  <c r="F15" i="2"/>
  <c r="G15" i="2"/>
  <c r="H15" i="2"/>
  <c r="I15" i="2"/>
  <c r="K15" i="2"/>
  <c r="A16" i="2"/>
  <c r="B16" i="2"/>
  <c r="C16" i="2"/>
  <c r="D16" i="2"/>
  <c r="E16" i="2"/>
  <c r="F16" i="2"/>
  <c r="G16" i="2"/>
  <c r="H16" i="2"/>
  <c r="I16" i="2"/>
  <c r="K16" i="2"/>
  <c r="A17" i="2"/>
  <c r="B17" i="2"/>
  <c r="C17" i="2"/>
  <c r="D17" i="2"/>
  <c r="E17" i="2"/>
  <c r="F17" i="2"/>
  <c r="G17" i="2"/>
  <c r="H17" i="2"/>
  <c r="I17" i="2"/>
  <c r="K17" i="2"/>
  <c r="A18" i="2"/>
  <c r="B18" i="2"/>
  <c r="C18" i="2"/>
  <c r="D18" i="2"/>
  <c r="E18" i="2"/>
  <c r="F18" i="2"/>
  <c r="G18" i="2"/>
  <c r="H18" i="2"/>
  <c r="I18" i="2"/>
  <c r="K18" i="2"/>
  <c r="A19" i="2"/>
  <c r="B19" i="2"/>
  <c r="C19" i="2"/>
  <c r="D19" i="2"/>
  <c r="E19" i="2"/>
  <c r="F19" i="2"/>
  <c r="G19" i="2"/>
  <c r="H19" i="2"/>
  <c r="I19" i="2"/>
  <c r="K19" i="2"/>
  <c r="A20" i="2"/>
  <c r="B20" i="2"/>
  <c r="C20" i="2"/>
  <c r="D20" i="2"/>
  <c r="E20" i="2"/>
  <c r="F20" i="2"/>
  <c r="G20" i="2"/>
  <c r="H20" i="2"/>
  <c r="I20" i="2"/>
  <c r="K20" i="2"/>
  <c r="A21" i="2"/>
  <c r="B21" i="2"/>
  <c r="C21" i="2"/>
  <c r="D21" i="2"/>
  <c r="E21" i="2"/>
  <c r="F21" i="2"/>
  <c r="G21" i="2"/>
  <c r="H21" i="2"/>
  <c r="I21" i="2"/>
  <c r="K21" i="2"/>
  <c r="A22" i="2"/>
  <c r="B22" i="2"/>
  <c r="C22" i="2"/>
  <c r="D22" i="2"/>
  <c r="E22" i="2"/>
  <c r="F22" i="2"/>
  <c r="G22" i="2"/>
  <c r="H22" i="2"/>
  <c r="I22" i="2"/>
  <c r="K22" i="2"/>
  <c r="A23" i="2"/>
  <c r="B23" i="2"/>
  <c r="C23" i="2"/>
  <c r="D23" i="2"/>
  <c r="E23" i="2"/>
  <c r="F23" i="2"/>
  <c r="G23" i="2"/>
  <c r="H23" i="2"/>
  <c r="I23" i="2"/>
  <c r="K23" i="2"/>
  <c r="A24" i="2"/>
  <c r="B24" i="2"/>
  <c r="C24" i="2"/>
  <c r="D24" i="2"/>
  <c r="E24" i="2"/>
  <c r="F24" i="2"/>
  <c r="G24" i="2"/>
  <c r="H24" i="2"/>
  <c r="I24" i="2"/>
  <c r="K24" i="2"/>
  <c r="A25" i="2"/>
  <c r="B25" i="2"/>
  <c r="C25" i="2"/>
  <c r="D25" i="2"/>
  <c r="E25" i="2"/>
  <c r="F25" i="2"/>
  <c r="G25" i="2"/>
  <c r="H25" i="2"/>
  <c r="I25" i="2"/>
  <c r="K25" i="2"/>
  <c r="A26" i="2"/>
  <c r="B26" i="2"/>
  <c r="C26" i="2"/>
  <c r="D26" i="2"/>
  <c r="E26" i="2"/>
  <c r="F26" i="2"/>
  <c r="G26" i="2"/>
  <c r="H26" i="2"/>
  <c r="I26" i="2"/>
  <c r="K26" i="2"/>
  <c r="A27" i="2"/>
  <c r="B27" i="2"/>
  <c r="C27" i="2"/>
  <c r="D27" i="2"/>
  <c r="E27" i="2"/>
  <c r="F27" i="2"/>
  <c r="G27" i="2"/>
  <c r="H27" i="2"/>
  <c r="I27" i="2"/>
  <c r="K27" i="2"/>
  <c r="A28" i="2"/>
  <c r="B28" i="2"/>
  <c r="C28" i="2"/>
  <c r="D28" i="2"/>
  <c r="E28" i="2"/>
  <c r="F28" i="2"/>
  <c r="G28" i="2"/>
  <c r="H28" i="2"/>
  <c r="I28" i="2"/>
  <c r="K28" i="2"/>
  <c r="A29" i="2"/>
  <c r="B29" i="2"/>
  <c r="C29" i="2"/>
  <c r="D29" i="2"/>
  <c r="E29" i="2"/>
  <c r="F29" i="2"/>
  <c r="G29" i="2"/>
  <c r="H29" i="2"/>
  <c r="I29" i="2"/>
  <c r="K29" i="2"/>
  <c r="A30" i="2"/>
  <c r="B30" i="2"/>
  <c r="C30" i="2"/>
  <c r="D30" i="2"/>
  <c r="E30" i="2"/>
  <c r="F30" i="2"/>
  <c r="G30" i="2"/>
  <c r="H30" i="2"/>
  <c r="I30" i="2"/>
  <c r="K30" i="2"/>
  <c r="A31" i="2"/>
  <c r="B31" i="2"/>
  <c r="C31" i="2"/>
  <c r="D31" i="2"/>
  <c r="E31" i="2"/>
  <c r="F31" i="2"/>
  <c r="G31" i="2"/>
  <c r="H31" i="2"/>
  <c r="I31" i="2"/>
  <c r="K31" i="2"/>
  <c r="A32" i="2"/>
  <c r="B32" i="2"/>
  <c r="C32" i="2"/>
  <c r="D32" i="2"/>
  <c r="E32" i="2"/>
  <c r="F32" i="2"/>
  <c r="G32" i="2"/>
  <c r="H32" i="2"/>
  <c r="I32" i="2"/>
  <c r="K32" i="2"/>
  <c r="A33" i="2"/>
  <c r="B33" i="2"/>
  <c r="C33" i="2"/>
  <c r="D33" i="2"/>
  <c r="E33" i="2"/>
  <c r="F33" i="2"/>
  <c r="G33" i="2"/>
  <c r="H33" i="2"/>
  <c r="I33" i="2"/>
  <c r="K33" i="2"/>
  <c r="A34" i="2"/>
  <c r="B34" i="2"/>
  <c r="C34" i="2"/>
  <c r="D34" i="2"/>
  <c r="E34" i="2"/>
  <c r="F34" i="2"/>
  <c r="G34" i="2"/>
  <c r="H34" i="2"/>
  <c r="I34" i="2"/>
  <c r="K34" i="2"/>
  <c r="A35" i="2"/>
  <c r="B35" i="2"/>
  <c r="C35" i="2"/>
  <c r="D35" i="2"/>
  <c r="E35" i="2"/>
  <c r="F35" i="2"/>
  <c r="G35" i="2"/>
  <c r="H35" i="2"/>
  <c r="I35" i="2"/>
  <c r="K35" i="2"/>
  <c r="A36" i="2"/>
  <c r="B36" i="2"/>
  <c r="C36" i="2"/>
  <c r="D36" i="2"/>
  <c r="E36" i="2"/>
  <c r="F36" i="2"/>
  <c r="G36" i="2"/>
  <c r="H36" i="2"/>
  <c r="I36" i="2"/>
  <c r="K36" i="2"/>
  <c r="A37" i="2"/>
  <c r="B37" i="2"/>
  <c r="C37" i="2"/>
  <c r="D37" i="2"/>
  <c r="E37" i="2"/>
  <c r="F37" i="2"/>
  <c r="G37" i="2"/>
  <c r="H37" i="2"/>
  <c r="I37" i="2"/>
  <c r="K37" i="2"/>
  <c r="A38" i="2"/>
  <c r="B38" i="2"/>
  <c r="C38" i="2"/>
  <c r="D38" i="2"/>
  <c r="E38" i="2"/>
  <c r="F38" i="2"/>
  <c r="G38" i="2"/>
  <c r="H38" i="2"/>
  <c r="I38" i="2"/>
  <c r="K38" i="2"/>
  <c r="A39" i="2"/>
  <c r="B39" i="2"/>
  <c r="C39" i="2"/>
  <c r="D39" i="2"/>
  <c r="E39" i="2"/>
  <c r="F39" i="2"/>
  <c r="G39" i="2"/>
  <c r="H39" i="2"/>
  <c r="I39" i="2"/>
  <c r="K39" i="2"/>
  <c r="A40" i="2"/>
  <c r="B40" i="2"/>
  <c r="C40" i="2"/>
  <c r="D40" i="2"/>
  <c r="E40" i="2"/>
  <c r="F40" i="2"/>
  <c r="G40" i="2"/>
  <c r="H40" i="2"/>
  <c r="I40" i="2"/>
  <c r="K40" i="2"/>
  <c r="A41" i="2"/>
  <c r="B41" i="2"/>
  <c r="C41" i="2"/>
  <c r="D41" i="2"/>
  <c r="E41" i="2"/>
  <c r="F41" i="2"/>
  <c r="G41" i="2"/>
  <c r="H41" i="2"/>
  <c r="I41" i="2"/>
  <c r="K41" i="2"/>
  <c r="A42" i="2"/>
  <c r="B42" i="2"/>
  <c r="C42" i="2"/>
  <c r="D42" i="2"/>
  <c r="E42" i="2"/>
  <c r="F42" i="2"/>
  <c r="G42" i="2"/>
  <c r="H42" i="2"/>
  <c r="I42" i="2"/>
  <c r="K42" i="2"/>
  <c r="A43" i="2"/>
  <c r="B43" i="2"/>
  <c r="C43" i="2"/>
  <c r="D43" i="2"/>
  <c r="E43" i="2"/>
  <c r="F43" i="2"/>
  <c r="G43" i="2"/>
  <c r="H43" i="2"/>
  <c r="I43" i="2"/>
  <c r="K43" i="2"/>
  <c r="A44" i="2"/>
  <c r="B44" i="2"/>
  <c r="C44" i="2"/>
  <c r="D44" i="2"/>
  <c r="E44" i="2"/>
  <c r="F44" i="2"/>
  <c r="G44" i="2"/>
  <c r="H44" i="2"/>
  <c r="I44" i="2"/>
  <c r="K44" i="2"/>
  <c r="A45" i="2"/>
  <c r="B45" i="2"/>
  <c r="C45" i="2"/>
  <c r="D45" i="2"/>
  <c r="E45" i="2"/>
  <c r="F45" i="2"/>
  <c r="G45" i="2"/>
  <c r="H45" i="2"/>
  <c r="I45" i="2"/>
  <c r="K45" i="2"/>
  <c r="A46" i="2"/>
  <c r="B46" i="2"/>
  <c r="C46" i="2"/>
  <c r="D46" i="2"/>
  <c r="E46" i="2"/>
  <c r="F46" i="2"/>
  <c r="G46" i="2"/>
  <c r="H46" i="2"/>
  <c r="I46" i="2"/>
  <c r="K46" i="2"/>
  <c r="A47" i="2"/>
  <c r="B47" i="2"/>
  <c r="C47" i="2"/>
  <c r="D47" i="2"/>
  <c r="E47" i="2"/>
  <c r="F47" i="2"/>
  <c r="G47" i="2"/>
  <c r="H47" i="2"/>
  <c r="I47" i="2"/>
  <c r="K47" i="2"/>
  <c r="A48" i="2"/>
  <c r="B48" i="2"/>
  <c r="C48" i="2"/>
  <c r="D48" i="2"/>
  <c r="E48" i="2"/>
  <c r="F48" i="2"/>
  <c r="G48" i="2"/>
  <c r="H48" i="2"/>
  <c r="I48" i="2"/>
  <c r="K48" i="2"/>
  <c r="A49" i="2"/>
  <c r="B49" i="2"/>
  <c r="C49" i="2"/>
  <c r="D49" i="2"/>
  <c r="E49" i="2"/>
  <c r="F49" i="2"/>
  <c r="G49" i="2"/>
  <c r="H49" i="2"/>
  <c r="I49" i="2"/>
  <c r="K49" i="2"/>
  <c r="A50" i="2"/>
  <c r="B50" i="2"/>
  <c r="C50" i="2"/>
  <c r="D50" i="2"/>
  <c r="E50" i="2"/>
  <c r="F50" i="2"/>
  <c r="G50" i="2"/>
  <c r="H50" i="2"/>
  <c r="I50" i="2"/>
  <c r="K50" i="2"/>
  <c r="A51" i="2"/>
  <c r="B51" i="2"/>
  <c r="C51" i="2"/>
  <c r="D51" i="2"/>
  <c r="E51" i="2"/>
  <c r="F51" i="2"/>
  <c r="G51" i="2"/>
  <c r="H51" i="2"/>
  <c r="I51" i="2"/>
  <c r="K51" i="2"/>
  <c r="A52" i="2"/>
  <c r="B52" i="2"/>
  <c r="C52" i="2"/>
  <c r="D52" i="2"/>
  <c r="E52" i="2"/>
  <c r="F52" i="2"/>
  <c r="G52" i="2"/>
  <c r="H52" i="2"/>
  <c r="I52" i="2"/>
  <c r="K52" i="2"/>
  <c r="A53" i="2"/>
  <c r="B53" i="2"/>
  <c r="C53" i="2"/>
  <c r="D53" i="2"/>
  <c r="E53" i="2"/>
  <c r="F53" i="2"/>
  <c r="G53" i="2"/>
  <c r="H53" i="2"/>
  <c r="I53" i="2"/>
  <c r="K53" i="2"/>
  <c r="A54" i="2"/>
  <c r="B54" i="2"/>
  <c r="C54" i="2"/>
  <c r="D54" i="2"/>
  <c r="E54" i="2"/>
  <c r="F54" i="2"/>
  <c r="G54" i="2"/>
  <c r="H54" i="2"/>
  <c r="I54" i="2"/>
  <c r="K54" i="2"/>
  <c r="A55" i="2"/>
  <c r="B55" i="2"/>
  <c r="C55" i="2"/>
  <c r="D55" i="2"/>
  <c r="E55" i="2"/>
  <c r="F55" i="2"/>
  <c r="G55" i="2"/>
  <c r="H55" i="2"/>
  <c r="I55" i="2"/>
  <c r="K55" i="2"/>
  <c r="A56" i="2"/>
  <c r="B56" i="2"/>
  <c r="C56" i="2"/>
  <c r="D56" i="2"/>
  <c r="E56" i="2"/>
  <c r="F56" i="2"/>
  <c r="G56" i="2"/>
  <c r="H56" i="2"/>
  <c r="I56" i="2"/>
  <c r="K56" i="2"/>
  <c r="A57" i="2"/>
  <c r="B57" i="2"/>
  <c r="C57" i="2"/>
  <c r="D57" i="2"/>
  <c r="E57" i="2"/>
  <c r="F57" i="2"/>
  <c r="G57" i="2"/>
  <c r="H57" i="2"/>
  <c r="I57" i="2"/>
  <c r="K57" i="2"/>
  <c r="A58" i="2"/>
  <c r="B58" i="2"/>
  <c r="C58" i="2"/>
  <c r="D58" i="2"/>
  <c r="E58" i="2"/>
  <c r="F58" i="2"/>
  <c r="G58" i="2"/>
  <c r="H58" i="2"/>
  <c r="I58" i="2"/>
  <c r="K58" i="2"/>
  <c r="A59" i="2"/>
  <c r="B59" i="2"/>
  <c r="C59" i="2"/>
  <c r="D59" i="2"/>
  <c r="E59" i="2"/>
  <c r="F59" i="2"/>
  <c r="G59" i="2"/>
  <c r="H59" i="2"/>
  <c r="I59" i="2"/>
  <c r="K59" i="2"/>
  <c r="A60" i="2"/>
  <c r="B60" i="2"/>
  <c r="C60" i="2"/>
  <c r="D60" i="2"/>
  <c r="E60" i="2"/>
  <c r="F60" i="2"/>
  <c r="G60" i="2"/>
  <c r="H60" i="2"/>
  <c r="I60" i="2"/>
  <c r="K60" i="2"/>
  <c r="A61" i="2"/>
  <c r="B61" i="2"/>
  <c r="C61" i="2"/>
  <c r="D61" i="2"/>
  <c r="E61" i="2"/>
  <c r="F61" i="2"/>
  <c r="G61" i="2"/>
  <c r="H61" i="2"/>
  <c r="I61" i="2"/>
  <c r="K61" i="2"/>
  <c r="A62" i="2"/>
  <c r="B62" i="2"/>
  <c r="C62" i="2"/>
  <c r="D62" i="2"/>
  <c r="E62" i="2"/>
  <c r="F62" i="2"/>
  <c r="G62" i="2"/>
  <c r="H62" i="2"/>
  <c r="I62" i="2"/>
  <c r="K62" i="2"/>
  <c r="A63" i="2"/>
  <c r="B63" i="2"/>
  <c r="C63" i="2"/>
  <c r="D63" i="2"/>
  <c r="E63" i="2"/>
  <c r="F63" i="2"/>
  <c r="G63" i="2"/>
  <c r="H63" i="2"/>
  <c r="I63" i="2"/>
  <c r="K63" i="2"/>
  <c r="A64" i="2"/>
  <c r="B64" i="2"/>
  <c r="C64" i="2"/>
  <c r="D64" i="2"/>
  <c r="E64" i="2"/>
  <c r="F64" i="2"/>
  <c r="G64" i="2"/>
  <c r="H64" i="2"/>
  <c r="I64" i="2"/>
  <c r="K64" i="2"/>
  <c r="A65" i="2"/>
  <c r="B65" i="2"/>
  <c r="C65" i="2"/>
  <c r="D65" i="2"/>
  <c r="E65" i="2"/>
  <c r="F65" i="2"/>
  <c r="G65" i="2"/>
  <c r="H65" i="2"/>
  <c r="I65" i="2"/>
  <c r="K65" i="2"/>
  <c r="A66" i="2"/>
  <c r="B66" i="2"/>
  <c r="C66" i="2"/>
  <c r="D66" i="2"/>
  <c r="E66" i="2"/>
  <c r="F66" i="2"/>
  <c r="G66" i="2"/>
  <c r="H66" i="2"/>
  <c r="I66" i="2"/>
  <c r="K66" i="2"/>
  <c r="A67" i="2"/>
  <c r="B67" i="2"/>
  <c r="C67" i="2"/>
  <c r="D67" i="2"/>
  <c r="E67" i="2"/>
  <c r="F67" i="2"/>
  <c r="G67" i="2"/>
  <c r="H67" i="2"/>
  <c r="I67" i="2"/>
  <c r="K67" i="2"/>
  <c r="A68" i="2"/>
  <c r="B68" i="2"/>
  <c r="C68" i="2"/>
  <c r="D68" i="2"/>
  <c r="E68" i="2"/>
  <c r="F68" i="2"/>
  <c r="G68" i="2"/>
  <c r="H68" i="2"/>
  <c r="I68" i="2"/>
  <c r="K68" i="2"/>
  <c r="A69" i="2"/>
  <c r="B69" i="2"/>
  <c r="C69" i="2"/>
  <c r="D69" i="2"/>
  <c r="E69" i="2"/>
  <c r="F69" i="2"/>
  <c r="G69" i="2"/>
  <c r="H69" i="2"/>
  <c r="I69" i="2"/>
  <c r="K69" i="2"/>
  <c r="A70" i="2"/>
  <c r="B70" i="2"/>
  <c r="C70" i="2"/>
  <c r="D70" i="2"/>
  <c r="E70" i="2"/>
  <c r="F70" i="2"/>
  <c r="G70" i="2"/>
  <c r="H70" i="2"/>
  <c r="I70" i="2"/>
  <c r="K70" i="2"/>
  <c r="A71" i="2"/>
  <c r="B71" i="2"/>
  <c r="C71" i="2"/>
  <c r="D71" i="2"/>
  <c r="E71" i="2"/>
  <c r="F71" i="2"/>
  <c r="G71" i="2"/>
  <c r="H71" i="2"/>
  <c r="I71" i="2"/>
  <c r="K71" i="2"/>
  <c r="A72" i="2"/>
  <c r="B72" i="2"/>
  <c r="C72" i="2"/>
  <c r="D72" i="2"/>
  <c r="E72" i="2"/>
  <c r="F72" i="2"/>
  <c r="G72" i="2"/>
  <c r="H72" i="2"/>
  <c r="I72" i="2"/>
  <c r="K72" i="2"/>
  <c r="A73" i="2"/>
  <c r="B73" i="2"/>
  <c r="C73" i="2"/>
  <c r="D73" i="2"/>
  <c r="E73" i="2"/>
  <c r="F73" i="2"/>
  <c r="G73" i="2"/>
  <c r="H73" i="2"/>
  <c r="I73" i="2"/>
  <c r="K73" i="2"/>
  <c r="A74" i="2"/>
  <c r="B74" i="2"/>
  <c r="C74" i="2"/>
  <c r="D74" i="2"/>
  <c r="E74" i="2"/>
  <c r="F74" i="2"/>
  <c r="G74" i="2"/>
  <c r="H74" i="2"/>
  <c r="I74" i="2"/>
  <c r="K74" i="2"/>
  <c r="A75" i="2"/>
  <c r="B75" i="2"/>
  <c r="C75" i="2"/>
  <c r="D75" i="2"/>
  <c r="E75" i="2"/>
  <c r="F75" i="2"/>
  <c r="G75" i="2"/>
  <c r="H75" i="2"/>
  <c r="I75" i="2"/>
  <c r="K75" i="2"/>
  <c r="A76" i="2"/>
  <c r="B76" i="2"/>
  <c r="C76" i="2"/>
  <c r="D76" i="2"/>
  <c r="E76" i="2"/>
  <c r="F76" i="2"/>
  <c r="G76" i="2"/>
  <c r="H76" i="2"/>
  <c r="I76" i="2"/>
  <c r="K76" i="2"/>
  <c r="A77" i="2"/>
  <c r="B77" i="2"/>
  <c r="C77" i="2"/>
  <c r="D77" i="2"/>
  <c r="E77" i="2"/>
  <c r="F77" i="2"/>
  <c r="G77" i="2"/>
  <c r="H77" i="2"/>
  <c r="I77" i="2"/>
  <c r="K77" i="2"/>
  <c r="A78" i="2"/>
  <c r="B78" i="2"/>
  <c r="C78" i="2"/>
  <c r="D78" i="2"/>
  <c r="E78" i="2"/>
  <c r="F78" i="2"/>
  <c r="G78" i="2"/>
  <c r="H78" i="2"/>
  <c r="I78" i="2"/>
  <c r="K78" i="2"/>
  <c r="A79" i="2"/>
  <c r="B79" i="2"/>
  <c r="C79" i="2"/>
  <c r="D79" i="2"/>
  <c r="E79" i="2"/>
  <c r="F79" i="2"/>
  <c r="G79" i="2"/>
  <c r="H79" i="2"/>
  <c r="I79" i="2"/>
  <c r="K79" i="2"/>
  <c r="A80" i="2"/>
  <c r="B80" i="2"/>
  <c r="C80" i="2"/>
  <c r="D80" i="2"/>
  <c r="E80" i="2"/>
  <c r="F80" i="2"/>
  <c r="G80" i="2"/>
  <c r="H80" i="2"/>
  <c r="I80" i="2"/>
  <c r="K80" i="2"/>
  <c r="A81" i="2"/>
  <c r="B81" i="2"/>
  <c r="C81" i="2"/>
  <c r="D81" i="2"/>
  <c r="E81" i="2"/>
  <c r="F81" i="2"/>
  <c r="G81" i="2"/>
  <c r="H81" i="2"/>
  <c r="I81" i="2"/>
  <c r="K81" i="2"/>
  <c r="A82" i="2"/>
  <c r="B82" i="2"/>
  <c r="C82" i="2"/>
  <c r="D82" i="2"/>
  <c r="E82" i="2"/>
  <c r="F82" i="2"/>
  <c r="G82" i="2"/>
  <c r="H82" i="2"/>
  <c r="I82" i="2"/>
  <c r="K82" i="2"/>
  <c r="A83" i="2"/>
  <c r="B83" i="2"/>
  <c r="C83" i="2"/>
  <c r="D83" i="2"/>
  <c r="E83" i="2"/>
  <c r="F83" i="2"/>
  <c r="G83" i="2"/>
  <c r="H83" i="2"/>
  <c r="I83" i="2"/>
  <c r="K83" i="2"/>
  <c r="A84" i="2"/>
  <c r="B84" i="2"/>
  <c r="C84" i="2"/>
  <c r="D84" i="2"/>
  <c r="E84" i="2"/>
  <c r="F84" i="2"/>
  <c r="G84" i="2"/>
  <c r="H84" i="2"/>
  <c r="I84" i="2"/>
  <c r="K84" i="2"/>
  <c r="A85" i="2"/>
  <c r="B85" i="2"/>
  <c r="C85" i="2"/>
  <c r="D85" i="2"/>
  <c r="E85" i="2"/>
  <c r="F85" i="2"/>
  <c r="G85" i="2"/>
  <c r="H85" i="2"/>
  <c r="I85" i="2"/>
  <c r="K85" i="2"/>
  <c r="A86" i="2"/>
  <c r="B86" i="2"/>
  <c r="C86" i="2"/>
  <c r="D86" i="2"/>
  <c r="E86" i="2"/>
  <c r="F86" i="2"/>
  <c r="G86" i="2"/>
  <c r="H86" i="2"/>
  <c r="I86" i="2"/>
  <c r="K86" i="2"/>
  <c r="A87" i="2"/>
  <c r="B87" i="2"/>
  <c r="C87" i="2"/>
  <c r="D87" i="2"/>
  <c r="E87" i="2"/>
  <c r="F87" i="2"/>
  <c r="G87" i="2"/>
  <c r="H87" i="2"/>
  <c r="I87" i="2"/>
  <c r="K87" i="2"/>
  <c r="A88" i="2"/>
  <c r="B88" i="2"/>
  <c r="C88" i="2"/>
  <c r="D88" i="2"/>
  <c r="E88" i="2"/>
  <c r="F88" i="2"/>
  <c r="G88" i="2"/>
  <c r="H88" i="2"/>
  <c r="I88" i="2"/>
  <c r="K88" i="2"/>
  <c r="A89" i="2"/>
  <c r="B89" i="2"/>
  <c r="C89" i="2"/>
  <c r="D89" i="2"/>
  <c r="E89" i="2"/>
  <c r="F89" i="2"/>
  <c r="G89" i="2"/>
  <c r="H89" i="2"/>
  <c r="I89" i="2"/>
  <c r="K89" i="2"/>
  <c r="A90" i="2"/>
  <c r="B90" i="2"/>
  <c r="C90" i="2"/>
  <c r="D90" i="2"/>
  <c r="E90" i="2"/>
  <c r="F90" i="2"/>
  <c r="G90" i="2"/>
  <c r="H90" i="2"/>
  <c r="I90" i="2"/>
  <c r="K90" i="2"/>
  <c r="A91" i="2"/>
  <c r="B91" i="2"/>
  <c r="C91" i="2"/>
  <c r="D91" i="2"/>
  <c r="E91" i="2"/>
  <c r="F91" i="2"/>
  <c r="G91" i="2"/>
  <c r="H91" i="2"/>
  <c r="I91" i="2"/>
  <c r="K91" i="2"/>
  <c r="A92" i="2"/>
  <c r="B92" i="2"/>
  <c r="C92" i="2"/>
  <c r="D92" i="2"/>
  <c r="E92" i="2"/>
  <c r="F92" i="2"/>
  <c r="G92" i="2"/>
  <c r="H92" i="2"/>
  <c r="I92" i="2"/>
  <c r="K92" i="2"/>
  <c r="A93" i="2"/>
  <c r="B93" i="2"/>
  <c r="C93" i="2"/>
  <c r="D93" i="2"/>
  <c r="E93" i="2"/>
  <c r="F93" i="2"/>
  <c r="G93" i="2"/>
  <c r="H93" i="2"/>
  <c r="I93" i="2"/>
  <c r="K93" i="2"/>
  <c r="A94" i="2"/>
  <c r="B94" i="2"/>
  <c r="C94" i="2"/>
  <c r="D94" i="2"/>
  <c r="E94" i="2"/>
  <c r="F94" i="2"/>
  <c r="G94" i="2"/>
  <c r="H94" i="2"/>
  <c r="I94" i="2"/>
  <c r="K94" i="2"/>
  <c r="A95" i="2"/>
  <c r="B95" i="2"/>
  <c r="C95" i="2"/>
  <c r="D95" i="2"/>
  <c r="E95" i="2"/>
  <c r="F95" i="2"/>
  <c r="G95" i="2"/>
  <c r="H95" i="2"/>
  <c r="I95" i="2"/>
  <c r="K95" i="2"/>
  <c r="A96" i="2"/>
  <c r="B96" i="2"/>
  <c r="C96" i="2"/>
  <c r="D96" i="2"/>
  <c r="E96" i="2"/>
  <c r="F96" i="2"/>
  <c r="G96" i="2"/>
  <c r="H96" i="2"/>
  <c r="I96" i="2"/>
  <c r="K96" i="2"/>
  <c r="A97" i="2"/>
  <c r="B97" i="2"/>
  <c r="C97" i="2"/>
  <c r="D97" i="2"/>
  <c r="E97" i="2"/>
  <c r="F97" i="2"/>
  <c r="G97" i="2"/>
  <c r="H97" i="2"/>
  <c r="I97" i="2"/>
  <c r="K97" i="2"/>
  <c r="A98" i="2"/>
  <c r="B98" i="2"/>
  <c r="C98" i="2"/>
  <c r="D98" i="2"/>
  <c r="E98" i="2"/>
  <c r="F98" i="2"/>
  <c r="G98" i="2"/>
  <c r="H98" i="2"/>
  <c r="I98" i="2"/>
  <c r="K98" i="2"/>
  <c r="A99" i="2"/>
  <c r="B99" i="2"/>
  <c r="C99" i="2"/>
  <c r="D99" i="2"/>
  <c r="E99" i="2"/>
  <c r="F99" i="2"/>
  <c r="G99" i="2"/>
  <c r="H99" i="2"/>
  <c r="I99" i="2"/>
  <c r="K99" i="2"/>
  <c r="A100" i="2"/>
  <c r="B100" i="2"/>
  <c r="C100" i="2"/>
  <c r="D100" i="2"/>
  <c r="E100" i="2"/>
  <c r="F100" i="2"/>
  <c r="G100" i="2"/>
  <c r="H100" i="2"/>
  <c r="I100" i="2"/>
  <c r="K100" i="2"/>
  <c r="A101" i="2"/>
  <c r="B101" i="2"/>
  <c r="C101" i="2"/>
  <c r="D101" i="2"/>
  <c r="E101" i="2"/>
  <c r="F101" i="2"/>
  <c r="G101" i="2"/>
  <c r="H101" i="2"/>
  <c r="I101" i="2"/>
  <c r="K101" i="2"/>
  <c r="A102" i="2"/>
  <c r="B102" i="2"/>
  <c r="C102" i="2"/>
  <c r="D102" i="2"/>
  <c r="E102" i="2"/>
  <c r="F102" i="2"/>
  <c r="G102" i="2"/>
  <c r="H102" i="2"/>
  <c r="I102" i="2"/>
  <c r="K102" i="2"/>
  <c r="A103" i="2"/>
  <c r="B103" i="2"/>
  <c r="C103" i="2"/>
  <c r="D103" i="2"/>
  <c r="E103" i="2"/>
  <c r="F103" i="2"/>
  <c r="G103" i="2"/>
  <c r="H103" i="2"/>
  <c r="I103" i="2"/>
  <c r="K103" i="2"/>
  <c r="A104" i="2"/>
  <c r="B104" i="2"/>
  <c r="C104" i="2"/>
  <c r="D104" i="2"/>
  <c r="E104" i="2"/>
  <c r="F104" i="2"/>
  <c r="G104" i="2"/>
  <c r="H104" i="2"/>
  <c r="I104" i="2"/>
  <c r="K104" i="2"/>
  <c r="A105" i="2"/>
  <c r="B105" i="2"/>
  <c r="C105" i="2"/>
  <c r="D105" i="2"/>
  <c r="E105" i="2"/>
  <c r="F105" i="2"/>
  <c r="G105" i="2"/>
  <c r="H105" i="2"/>
  <c r="I105" i="2"/>
  <c r="K105" i="2"/>
  <c r="A106" i="2"/>
  <c r="B106" i="2"/>
  <c r="C106" i="2"/>
  <c r="D106" i="2"/>
  <c r="E106" i="2"/>
  <c r="F106" i="2"/>
  <c r="G106" i="2"/>
  <c r="H106" i="2"/>
  <c r="I106" i="2"/>
  <c r="K106" i="2"/>
  <c r="A107" i="2"/>
  <c r="B107" i="2"/>
  <c r="C107" i="2"/>
  <c r="D107" i="2"/>
  <c r="E107" i="2"/>
  <c r="F107" i="2"/>
  <c r="G107" i="2"/>
  <c r="H107" i="2"/>
  <c r="I107" i="2"/>
  <c r="K107" i="2"/>
  <c r="A108" i="2"/>
  <c r="B108" i="2"/>
  <c r="C108" i="2"/>
  <c r="D108" i="2"/>
  <c r="E108" i="2"/>
  <c r="F108" i="2"/>
  <c r="G108" i="2"/>
  <c r="H108" i="2"/>
  <c r="I108" i="2"/>
  <c r="K108" i="2"/>
  <c r="A109" i="2"/>
  <c r="B109" i="2"/>
  <c r="C109" i="2"/>
  <c r="D109" i="2"/>
  <c r="E109" i="2"/>
  <c r="F109" i="2"/>
  <c r="G109" i="2"/>
  <c r="H109" i="2"/>
  <c r="I109" i="2"/>
  <c r="K109" i="2"/>
  <c r="A110" i="2"/>
  <c r="B110" i="2"/>
  <c r="C110" i="2"/>
  <c r="D110" i="2"/>
  <c r="E110" i="2"/>
  <c r="F110" i="2"/>
  <c r="G110" i="2"/>
  <c r="H110" i="2"/>
  <c r="I110" i="2"/>
  <c r="K110" i="2"/>
  <c r="A111" i="2"/>
  <c r="B111" i="2"/>
  <c r="C111" i="2"/>
  <c r="D111" i="2"/>
  <c r="E111" i="2"/>
  <c r="F111" i="2"/>
  <c r="G111" i="2"/>
  <c r="H111" i="2"/>
  <c r="I111" i="2"/>
  <c r="K111" i="2"/>
  <c r="A112" i="2"/>
  <c r="B112" i="2"/>
  <c r="C112" i="2"/>
  <c r="D112" i="2"/>
  <c r="E112" i="2"/>
  <c r="F112" i="2"/>
  <c r="G112" i="2"/>
  <c r="H112" i="2"/>
  <c r="I112" i="2"/>
  <c r="K112" i="2"/>
  <c r="A113" i="2"/>
  <c r="B113" i="2"/>
  <c r="C113" i="2"/>
  <c r="D113" i="2"/>
  <c r="E113" i="2"/>
  <c r="F113" i="2"/>
  <c r="G113" i="2"/>
  <c r="H113" i="2"/>
  <c r="I113" i="2"/>
  <c r="K113" i="2"/>
  <c r="A114" i="2"/>
  <c r="B114" i="2"/>
  <c r="C114" i="2"/>
  <c r="D114" i="2"/>
  <c r="E114" i="2"/>
  <c r="F114" i="2"/>
  <c r="G114" i="2"/>
  <c r="H114" i="2"/>
  <c r="I114" i="2"/>
  <c r="K114" i="2"/>
  <c r="A115" i="2"/>
  <c r="B115" i="2"/>
  <c r="C115" i="2"/>
  <c r="D115" i="2"/>
  <c r="E115" i="2"/>
  <c r="F115" i="2"/>
  <c r="G115" i="2"/>
  <c r="H115" i="2"/>
  <c r="I115" i="2"/>
  <c r="K115" i="2"/>
  <c r="A116" i="2"/>
  <c r="B116" i="2"/>
  <c r="C116" i="2"/>
  <c r="D116" i="2"/>
  <c r="E116" i="2"/>
  <c r="F116" i="2"/>
  <c r="G116" i="2"/>
  <c r="H116" i="2"/>
  <c r="I116" i="2"/>
  <c r="K116" i="2"/>
  <c r="A117" i="2"/>
  <c r="B117" i="2"/>
  <c r="C117" i="2"/>
  <c r="D117" i="2"/>
  <c r="E117" i="2"/>
  <c r="F117" i="2"/>
  <c r="G117" i="2"/>
  <c r="H117" i="2"/>
  <c r="I117" i="2"/>
  <c r="K117" i="2"/>
  <c r="A118" i="2"/>
  <c r="B118" i="2"/>
  <c r="C118" i="2"/>
  <c r="D118" i="2"/>
  <c r="E118" i="2"/>
  <c r="F118" i="2"/>
  <c r="G118" i="2"/>
  <c r="H118" i="2"/>
  <c r="I118" i="2"/>
  <c r="K118" i="2"/>
  <c r="A119" i="2"/>
  <c r="B119" i="2"/>
  <c r="C119" i="2"/>
  <c r="D119" i="2"/>
  <c r="E119" i="2"/>
  <c r="F119" i="2"/>
  <c r="G119" i="2"/>
  <c r="H119" i="2"/>
  <c r="I119" i="2"/>
  <c r="K119" i="2"/>
  <c r="A120" i="2"/>
  <c r="B120" i="2"/>
  <c r="C120" i="2"/>
  <c r="D120" i="2"/>
  <c r="E120" i="2"/>
  <c r="F120" i="2"/>
  <c r="G120" i="2"/>
  <c r="H120" i="2"/>
  <c r="I120" i="2"/>
  <c r="K120" i="2"/>
  <c r="A121" i="2"/>
  <c r="B121" i="2"/>
  <c r="C121" i="2"/>
  <c r="D121" i="2"/>
  <c r="E121" i="2"/>
  <c r="F121" i="2"/>
  <c r="G121" i="2"/>
  <c r="H121" i="2"/>
  <c r="I121" i="2"/>
  <c r="K121" i="2"/>
  <c r="A122" i="2"/>
  <c r="B122" i="2"/>
  <c r="C122" i="2"/>
  <c r="D122" i="2"/>
  <c r="E122" i="2"/>
  <c r="F122" i="2"/>
  <c r="G122" i="2"/>
  <c r="H122" i="2"/>
  <c r="I122" i="2"/>
  <c r="K122" i="2"/>
  <c r="A123" i="2"/>
  <c r="B123" i="2"/>
  <c r="C123" i="2"/>
  <c r="D123" i="2"/>
  <c r="E123" i="2"/>
  <c r="F123" i="2"/>
  <c r="G123" i="2"/>
  <c r="H123" i="2"/>
  <c r="I123" i="2"/>
  <c r="K123" i="2"/>
  <c r="A124" i="2"/>
  <c r="B124" i="2"/>
  <c r="C124" i="2"/>
  <c r="D124" i="2"/>
  <c r="E124" i="2"/>
  <c r="F124" i="2"/>
  <c r="G124" i="2"/>
  <c r="H124" i="2"/>
  <c r="I124" i="2"/>
  <c r="K124" i="2"/>
  <c r="A125" i="2"/>
  <c r="B125" i="2"/>
  <c r="C125" i="2"/>
  <c r="D125" i="2"/>
  <c r="E125" i="2"/>
  <c r="F125" i="2"/>
  <c r="G125" i="2"/>
  <c r="H125" i="2"/>
  <c r="I125" i="2"/>
  <c r="K125" i="2"/>
  <c r="A126" i="2"/>
  <c r="B126" i="2"/>
  <c r="C126" i="2"/>
  <c r="D126" i="2"/>
  <c r="E126" i="2"/>
  <c r="F126" i="2"/>
  <c r="G126" i="2"/>
  <c r="H126" i="2"/>
  <c r="I126" i="2"/>
  <c r="K126" i="2"/>
  <c r="A127" i="2"/>
  <c r="B127" i="2"/>
  <c r="C127" i="2"/>
  <c r="D127" i="2"/>
  <c r="E127" i="2"/>
  <c r="F127" i="2"/>
  <c r="G127" i="2"/>
  <c r="H127" i="2"/>
  <c r="I127" i="2"/>
  <c r="K127" i="2"/>
  <c r="A128" i="2"/>
  <c r="B128" i="2"/>
  <c r="C128" i="2"/>
  <c r="D128" i="2"/>
  <c r="E128" i="2"/>
  <c r="F128" i="2"/>
  <c r="G128" i="2"/>
  <c r="H128" i="2"/>
  <c r="I128" i="2"/>
  <c r="K128" i="2"/>
  <c r="A129" i="2"/>
  <c r="B129" i="2"/>
  <c r="C129" i="2"/>
  <c r="D129" i="2"/>
  <c r="E129" i="2"/>
  <c r="F129" i="2"/>
  <c r="G129" i="2"/>
  <c r="H129" i="2"/>
  <c r="I129" i="2"/>
  <c r="K129" i="2"/>
  <c r="A130" i="2"/>
  <c r="B130" i="2"/>
  <c r="C130" i="2"/>
  <c r="D130" i="2"/>
  <c r="E130" i="2"/>
  <c r="F130" i="2"/>
  <c r="G130" i="2"/>
  <c r="H130" i="2"/>
  <c r="I130" i="2"/>
  <c r="K130" i="2"/>
  <c r="A131" i="2"/>
  <c r="B131" i="2"/>
  <c r="C131" i="2"/>
  <c r="D131" i="2"/>
  <c r="E131" i="2"/>
  <c r="F131" i="2"/>
  <c r="G131" i="2"/>
  <c r="H131" i="2"/>
  <c r="I131" i="2"/>
  <c r="K131" i="2"/>
  <c r="A132" i="2"/>
  <c r="B132" i="2"/>
  <c r="C132" i="2"/>
  <c r="D132" i="2"/>
  <c r="E132" i="2"/>
  <c r="F132" i="2"/>
  <c r="G132" i="2"/>
  <c r="H132" i="2"/>
  <c r="I132" i="2"/>
  <c r="K132" i="2"/>
  <c r="A133" i="2"/>
  <c r="B133" i="2"/>
  <c r="C133" i="2"/>
  <c r="D133" i="2"/>
  <c r="E133" i="2"/>
  <c r="F133" i="2"/>
  <c r="G133" i="2"/>
  <c r="H133" i="2"/>
  <c r="I133" i="2"/>
  <c r="K133" i="2"/>
  <c r="A134" i="2"/>
  <c r="B134" i="2"/>
  <c r="C134" i="2"/>
  <c r="D134" i="2"/>
  <c r="E134" i="2"/>
  <c r="F134" i="2"/>
  <c r="G134" i="2"/>
  <c r="H134" i="2"/>
  <c r="I134" i="2"/>
  <c r="K134" i="2"/>
  <c r="A135" i="2"/>
  <c r="B135" i="2"/>
  <c r="C135" i="2"/>
  <c r="D135" i="2"/>
  <c r="E135" i="2"/>
  <c r="F135" i="2"/>
  <c r="G135" i="2"/>
  <c r="H135" i="2"/>
  <c r="I135" i="2"/>
  <c r="K135" i="2"/>
  <c r="A136" i="2"/>
  <c r="B136" i="2"/>
  <c r="C136" i="2"/>
  <c r="D136" i="2"/>
  <c r="E136" i="2"/>
  <c r="F136" i="2"/>
  <c r="G136" i="2"/>
  <c r="H136" i="2"/>
  <c r="I136" i="2"/>
  <c r="K136" i="2"/>
  <c r="A137" i="2"/>
  <c r="B137" i="2"/>
  <c r="C137" i="2"/>
  <c r="D137" i="2"/>
  <c r="E137" i="2"/>
  <c r="F137" i="2"/>
  <c r="G137" i="2"/>
  <c r="H137" i="2"/>
  <c r="I137" i="2"/>
  <c r="K137" i="2"/>
  <c r="A138" i="2"/>
  <c r="B138" i="2"/>
  <c r="C138" i="2"/>
  <c r="D138" i="2"/>
  <c r="E138" i="2"/>
  <c r="F138" i="2"/>
  <c r="G138" i="2"/>
  <c r="H138" i="2"/>
  <c r="I138" i="2"/>
  <c r="K138" i="2"/>
  <c r="A139" i="2"/>
  <c r="B139" i="2"/>
  <c r="C139" i="2"/>
  <c r="D139" i="2"/>
  <c r="E139" i="2"/>
  <c r="F139" i="2"/>
  <c r="G139" i="2"/>
  <c r="H139" i="2"/>
  <c r="I139" i="2"/>
  <c r="K139" i="2"/>
  <c r="A140" i="2"/>
  <c r="B140" i="2"/>
  <c r="C140" i="2"/>
  <c r="D140" i="2"/>
  <c r="E140" i="2"/>
  <c r="F140" i="2"/>
  <c r="G140" i="2"/>
  <c r="H140" i="2"/>
  <c r="I140" i="2"/>
  <c r="K140" i="2"/>
  <c r="A141" i="2"/>
  <c r="B141" i="2"/>
  <c r="C141" i="2"/>
  <c r="D141" i="2"/>
  <c r="E141" i="2"/>
  <c r="F141" i="2"/>
  <c r="G141" i="2"/>
  <c r="H141" i="2"/>
  <c r="I141" i="2"/>
  <c r="K141" i="2"/>
  <c r="A142" i="2"/>
  <c r="B142" i="2"/>
  <c r="C142" i="2"/>
  <c r="D142" i="2"/>
  <c r="E142" i="2"/>
  <c r="F142" i="2"/>
  <c r="G142" i="2"/>
  <c r="H142" i="2"/>
  <c r="I142" i="2"/>
  <c r="K142" i="2"/>
  <c r="A143" i="2"/>
  <c r="B143" i="2"/>
  <c r="C143" i="2"/>
  <c r="D143" i="2"/>
  <c r="E143" i="2"/>
  <c r="F143" i="2"/>
  <c r="G143" i="2"/>
  <c r="H143" i="2"/>
  <c r="I143" i="2"/>
  <c r="K143" i="2"/>
  <c r="A144" i="2"/>
  <c r="B144" i="2"/>
  <c r="C144" i="2"/>
  <c r="D144" i="2"/>
  <c r="E144" i="2"/>
  <c r="F144" i="2"/>
  <c r="G144" i="2"/>
  <c r="H144" i="2"/>
  <c r="I144" i="2"/>
  <c r="K144" i="2"/>
  <c r="A145" i="2"/>
  <c r="B145" i="2"/>
  <c r="C145" i="2"/>
  <c r="D145" i="2"/>
  <c r="E145" i="2"/>
  <c r="F145" i="2"/>
  <c r="G145" i="2"/>
  <c r="H145" i="2"/>
  <c r="I145" i="2"/>
  <c r="K145" i="2"/>
  <c r="A146" i="2"/>
  <c r="B146" i="2"/>
  <c r="C146" i="2"/>
  <c r="D146" i="2"/>
  <c r="E146" i="2"/>
  <c r="F146" i="2"/>
  <c r="G146" i="2"/>
  <c r="H146" i="2"/>
  <c r="I146" i="2"/>
  <c r="K146" i="2"/>
  <c r="A147" i="2"/>
  <c r="B147" i="2"/>
  <c r="C147" i="2"/>
  <c r="D147" i="2"/>
  <c r="E147" i="2"/>
  <c r="F147" i="2"/>
  <c r="G147" i="2"/>
  <c r="H147" i="2"/>
  <c r="I147" i="2"/>
  <c r="K147" i="2"/>
  <c r="A148" i="2"/>
  <c r="B148" i="2"/>
  <c r="C148" i="2"/>
  <c r="D148" i="2"/>
  <c r="E148" i="2"/>
  <c r="F148" i="2"/>
  <c r="G148" i="2"/>
  <c r="H148" i="2"/>
  <c r="I148" i="2"/>
  <c r="K148" i="2"/>
  <c r="A149" i="2"/>
  <c r="B149" i="2"/>
  <c r="C149" i="2"/>
  <c r="D149" i="2"/>
  <c r="E149" i="2"/>
  <c r="F149" i="2"/>
  <c r="G149" i="2"/>
  <c r="H149" i="2"/>
  <c r="I149" i="2"/>
  <c r="K149" i="2"/>
  <c r="A150" i="2"/>
  <c r="B150" i="2"/>
  <c r="C150" i="2"/>
  <c r="D150" i="2"/>
  <c r="E150" i="2"/>
  <c r="F150" i="2"/>
  <c r="G150" i="2"/>
  <c r="H150" i="2"/>
  <c r="I150" i="2"/>
  <c r="K150" i="2"/>
  <c r="A151" i="2"/>
  <c r="B151" i="2"/>
  <c r="C151" i="2"/>
  <c r="D151" i="2"/>
  <c r="E151" i="2"/>
  <c r="F151" i="2"/>
  <c r="G151" i="2"/>
  <c r="H151" i="2"/>
  <c r="I151" i="2"/>
  <c r="K151" i="2"/>
  <c r="A152" i="2"/>
  <c r="B152" i="2"/>
  <c r="C152" i="2"/>
  <c r="D152" i="2"/>
  <c r="E152" i="2"/>
  <c r="F152" i="2"/>
  <c r="G152" i="2"/>
  <c r="H152" i="2"/>
  <c r="I152" i="2"/>
  <c r="K152" i="2"/>
  <c r="A153" i="2"/>
  <c r="B153" i="2"/>
  <c r="C153" i="2"/>
  <c r="D153" i="2"/>
  <c r="E153" i="2"/>
  <c r="F153" i="2"/>
  <c r="G153" i="2"/>
  <c r="H153" i="2"/>
  <c r="I153" i="2"/>
  <c r="K153" i="2"/>
  <c r="A154" i="2"/>
  <c r="B154" i="2"/>
  <c r="C154" i="2"/>
  <c r="D154" i="2"/>
  <c r="E154" i="2"/>
  <c r="F154" i="2"/>
  <c r="G154" i="2"/>
  <c r="H154" i="2"/>
  <c r="I154" i="2"/>
  <c r="K154" i="2"/>
  <c r="A155" i="2"/>
  <c r="B155" i="2"/>
  <c r="C155" i="2"/>
  <c r="D155" i="2"/>
  <c r="E155" i="2"/>
  <c r="F155" i="2"/>
  <c r="G155" i="2"/>
  <c r="H155" i="2"/>
  <c r="I155" i="2"/>
  <c r="A156" i="2"/>
  <c r="B156" i="2"/>
  <c r="C156" i="2"/>
  <c r="D156" i="2"/>
  <c r="E156" i="2"/>
  <c r="F156" i="2"/>
  <c r="G156" i="2"/>
  <c r="H156" i="2"/>
  <c r="I156" i="2"/>
  <c r="A157" i="2"/>
  <c r="B157" i="2"/>
  <c r="C157" i="2"/>
  <c r="D157" i="2"/>
  <c r="E157" i="2"/>
  <c r="F157" i="2"/>
  <c r="G157" i="2"/>
  <c r="H157" i="2"/>
  <c r="I157" i="2"/>
  <c r="A158" i="2"/>
  <c r="B158" i="2"/>
  <c r="C158" i="2"/>
  <c r="D158" i="2"/>
  <c r="E158" i="2"/>
  <c r="F158" i="2"/>
  <c r="G158" i="2"/>
  <c r="H158" i="2"/>
  <c r="I158" i="2"/>
  <c r="A159" i="2"/>
  <c r="B159" i="2"/>
  <c r="C159" i="2"/>
  <c r="D159" i="2"/>
  <c r="E159" i="2"/>
  <c r="F159" i="2"/>
  <c r="G159" i="2"/>
  <c r="H159" i="2"/>
  <c r="I159" i="2"/>
  <c r="A160" i="2"/>
  <c r="B160" i="2"/>
  <c r="C160" i="2"/>
  <c r="D160" i="2"/>
  <c r="E160" i="2"/>
  <c r="F160" i="2"/>
  <c r="G160" i="2"/>
  <c r="H160" i="2"/>
  <c r="I160" i="2"/>
  <c r="A161" i="2"/>
  <c r="B161" i="2"/>
  <c r="C161" i="2"/>
  <c r="D161" i="2"/>
  <c r="E161" i="2"/>
  <c r="F161" i="2"/>
  <c r="G161" i="2"/>
  <c r="H161" i="2"/>
  <c r="I161" i="2"/>
  <c r="A162" i="2"/>
  <c r="B162" i="2"/>
  <c r="C162" i="2"/>
  <c r="D162" i="2"/>
  <c r="E162" i="2"/>
  <c r="F162" i="2"/>
  <c r="G162" i="2"/>
  <c r="H162" i="2"/>
  <c r="I162" i="2"/>
  <c r="A163" i="2"/>
  <c r="B163" i="2"/>
  <c r="C163" i="2"/>
  <c r="D163" i="2"/>
  <c r="E163" i="2"/>
  <c r="F163" i="2"/>
  <c r="G163" i="2"/>
  <c r="H163" i="2"/>
  <c r="I163" i="2"/>
  <c r="A164" i="2"/>
  <c r="B164" i="2"/>
  <c r="C164" i="2"/>
  <c r="D164" i="2"/>
  <c r="E164" i="2"/>
  <c r="F164" i="2"/>
  <c r="G164" i="2"/>
  <c r="H164" i="2"/>
  <c r="I164" i="2"/>
  <c r="A165" i="2"/>
  <c r="B165" i="2"/>
  <c r="C165" i="2"/>
  <c r="D165" i="2"/>
  <c r="E165" i="2"/>
  <c r="F165" i="2"/>
  <c r="G165" i="2"/>
  <c r="H165" i="2"/>
  <c r="I165" i="2"/>
  <c r="A166" i="2"/>
  <c r="B166" i="2"/>
  <c r="C166" i="2"/>
  <c r="D166" i="2"/>
  <c r="E166" i="2"/>
  <c r="F166" i="2"/>
  <c r="G166" i="2"/>
  <c r="H166" i="2"/>
  <c r="I166" i="2"/>
  <c r="A167" i="2"/>
  <c r="B167" i="2"/>
  <c r="C167" i="2"/>
  <c r="D167" i="2"/>
  <c r="E167" i="2"/>
  <c r="F167" i="2"/>
  <c r="G167" i="2"/>
  <c r="H167" i="2"/>
  <c r="I167" i="2"/>
  <c r="A168" i="2"/>
  <c r="B168" i="2"/>
  <c r="C168" i="2"/>
  <c r="D168" i="2"/>
  <c r="E168" i="2"/>
  <c r="F168" i="2"/>
  <c r="G168" i="2"/>
  <c r="H168" i="2"/>
  <c r="I168" i="2"/>
  <c r="A169" i="2"/>
  <c r="B169" i="2"/>
  <c r="C169" i="2"/>
  <c r="D169" i="2"/>
  <c r="E169" i="2"/>
  <c r="F169" i="2"/>
  <c r="G169" i="2"/>
  <c r="H169" i="2"/>
  <c r="I169" i="2"/>
  <c r="A170" i="2"/>
  <c r="B170" i="2"/>
  <c r="C170" i="2"/>
  <c r="D170" i="2"/>
  <c r="E170" i="2"/>
  <c r="F170" i="2"/>
  <c r="G170" i="2"/>
  <c r="H170" i="2"/>
  <c r="I170" i="2"/>
  <c r="A171" i="2"/>
  <c r="B171" i="2"/>
  <c r="C171" i="2"/>
  <c r="D171" i="2"/>
  <c r="E171" i="2"/>
  <c r="F171" i="2"/>
  <c r="G171" i="2"/>
  <c r="H171" i="2"/>
  <c r="I171" i="2"/>
  <c r="A172" i="2"/>
  <c r="B172" i="2"/>
  <c r="C172" i="2"/>
  <c r="D172" i="2"/>
  <c r="E172" i="2"/>
  <c r="F172" i="2"/>
  <c r="G172" i="2"/>
  <c r="H172" i="2"/>
  <c r="I172" i="2"/>
  <c r="A173" i="2"/>
  <c r="B173" i="2"/>
  <c r="C173" i="2"/>
  <c r="D173" i="2"/>
  <c r="E173" i="2"/>
  <c r="F173" i="2"/>
  <c r="G173" i="2"/>
  <c r="H173" i="2"/>
  <c r="I173" i="2"/>
  <c r="A174" i="2"/>
  <c r="B174" i="2"/>
  <c r="C174" i="2"/>
  <c r="D174" i="2"/>
  <c r="E174" i="2"/>
  <c r="F174" i="2"/>
  <c r="G174" i="2"/>
  <c r="H174" i="2"/>
  <c r="I174" i="2"/>
  <c r="A175" i="2"/>
  <c r="B175" i="2"/>
  <c r="C175" i="2"/>
  <c r="D175" i="2"/>
  <c r="E175" i="2"/>
  <c r="F175" i="2"/>
  <c r="G175" i="2"/>
  <c r="H175" i="2"/>
  <c r="I175" i="2"/>
  <c r="A176" i="2"/>
  <c r="B176" i="2"/>
  <c r="C176" i="2"/>
  <c r="D176" i="2"/>
  <c r="E176" i="2"/>
  <c r="F176" i="2"/>
  <c r="G176" i="2"/>
  <c r="H176" i="2"/>
  <c r="I176" i="2"/>
  <c r="A177" i="2"/>
  <c r="B177" i="2"/>
  <c r="C177" i="2"/>
  <c r="D177" i="2"/>
  <c r="E177" i="2"/>
  <c r="F177" i="2"/>
  <c r="G177" i="2"/>
  <c r="H177" i="2"/>
  <c r="I177" i="2"/>
  <c r="A178" i="2"/>
  <c r="B178" i="2"/>
  <c r="C178" i="2"/>
  <c r="D178" i="2"/>
  <c r="E178" i="2"/>
  <c r="F178" i="2"/>
  <c r="G178" i="2"/>
  <c r="H178" i="2"/>
  <c r="I178" i="2"/>
  <c r="A179" i="2"/>
  <c r="B179" i="2"/>
  <c r="C179" i="2"/>
  <c r="D179" i="2"/>
  <c r="E179" i="2"/>
  <c r="F179" i="2"/>
  <c r="G179" i="2"/>
  <c r="H179" i="2"/>
  <c r="I179" i="2"/>
  <c r="A180" i="2"/>
  <c r="B180" i="2"/>
  <c r="C180" i="2"/>
  <c r="D180" i="2"/>
  <c r="E180" i="2"/>
  <c r="F180" i="2"/>
  <c r="G180" i="2"/>
  <c r="H180" i="2"/>
  <c r="I180" i="2"/>
  <c r="A181" i="2"/>
  <c r="B181" i="2"/>
  <c r="C181" i="2"/>
  <c r="D181" i="2"/>
  <c r="E181" i="2"/>
  <c r="F181" i="2"/>
  <c r="G181" i="2"/>
  <c r="H181" i="2"/>
  <c r="I181" i="2"/>
  <c r="A182" i="2"/>
  <c r="B182" i="2"/>
  <c r="C182" i="2"/>
  <c r="D182" i="2"/>
  <c r="E182" i="2"/>
  <c r="F182" i="2"/>
  <c r="G182" i="2"/>
  <c r="H182" i="2"/>
  <c r="I182" i="2"/>
  <c r="A183" i="2"/>
  <c r="B183" i="2"/>
  <c r="C183" i="2"/>
  <c r="D183" i="2"/>
  <c r="E183" i="2"/>
  <c r="F183" i="2"/>
  <c r="G183" i="2"/>
  <c r="H183" i="2"/>
  <c r="I183" i="2"/>
  <c r="A184" i="2"/>
  <c r="B184" i="2"/>
  <c r="C184" i="2"/>
  <c r="D184" i="2"/>
  <c r="E184" i="2"/>
  <c r="F184" i="2"/>
  <c r="G184" i="2"/>
  <c r="H184" i="2"/>
  <c r="I184" i="2"/>
  <c r="A185" i="2"/>
  <c r="B185" i="2"/>
  <c r="C185" i="2"/>
  <c r="D185" i="2"/>
  <c r="E185" i="2"/>
  <c r="F185" i="2"/>
  <c r="G185" i="2"/>
  <c r="H185" i="2"/>
  <c r="I185" i="2"/>
  <c r="A186" i="2"/>
  <c r="B186" i="2"/>
  <c r="C186" i="2"/>
  <c r="D186" i="2"/>
  <c r="E186" i="2"/>
  <c r="F186" i="2"/>
  <c r="G186" i="2"/>
  <c r="H186" i="2"/>
  <c r="I186" i="2"/>
  <c r="A187" i="2"/>
  <c r="B187" i="2"/>
  <c r="C187" i="2"/>
  <c r="D187" i="2"/>
  <c r="E187" i="2"/>
  <c r="F187" i="2"/>
  <c r="G187" i="2"/>
  <c r="H187" i="2"/>
  <c r="I187" i="2"/>
  <c r="A188" i="2"/>
  <c r="B188" i="2"/>
  <c r="C188" i="2"/>
  <c r="D188" i="2"/>
  <c r="E188" i="2"/>
  <c r="F188" i="2"/>
  <c r="G188" i="2"/>
  <c r="H188" i="2"/>
  <c r="I188" i="2"/>
  <c r="A189" i="2"/>
  <c r="B189" i="2"/>
  <c r="C189" i="2"/>
  <c r="D189" i="2"/>
  <c r="E189" i="2"/>
  <c r="F189" i="2"/>
  <c r="G189" i="2"/>
  <c r="H189" i="2"/>
  <c r="I189" i="2"/>
  <c r="A190" i="2"/>
  <c r="B190" i="2"/>
  <c r="C190" i="2"/>
  <c r="D190" i="2"/>
  <c r="E190" i="2"/>
  <c r="F190" i="2"/>
  <c r="G190" i="2"/>
  <c r="H190" i="2"/>
  <c r="I190" i="2"/>
  <c r="A191" i="2"/>
  <c r="B191" i="2"/>
  <c r="C191" i="2"/>
  <c r="D191" i="2"/>
  <c r="E191" i="2"/>
  <c r="F191" i="2"/>
  <c r="G191" i="2"/>
  <c r="H191" i="2"/>
  <c r="I191" i="2"/>
  <c r="A192" i="2"/>
  <c r="B192" i="2"/>
  <c r="C192" i="2"/>
  <c r="D192" i="2"/>
  <c r="E192" i="2"/>
  <c r="F192" i="2"/>
  <c r="G192" i="2"/>
  <c r="H192" i="2"/>
  <c r="I192" i="2"/>
  <c r="A193" i="2"/>
  <c r="B193" i="2"/>
  <c r="C193" i="2"/>
  <c r="D193" i="2"/>
  <c r="E193" i="2"/>
  <c r="F193" i="2"/>
  <c r="G193" i="2"/>
  <c r="H193" i="2"/>
  <c r="I193" i="2"/>
  <c r="A194" i="2"/>
  <c r="B194" i="2"/>
  <c r="C194" i="2"/>
  <c r="D194" i="2"/>
  <c r="E194" i="2"/>
  <c r="F194" i="2"/>
  <c r="G194" i="2"/>
  <c r="H194" i="2"/>
  <c r="I194" i="2"/>
  <c r="A195" i="2"/>
  <c r="B195" i="2"/>
  <c r="C195" i="2"/>
  <c r="D195" i="2"/>
  <c r="E195" i="2"/>
  <c r="F195" i="2"/>
  <c r="G195" i="2"/>
  <c r="H195" i="2"/>
  <c r="I195" i="2"/>
  <c r="A196" i="2"/>
  <c r="B196" i="2"/>
  <c r="C196" i="2"/>
  <c r="D196" i="2"/>
  <c r="E196" i="2"/>
  <c r="F196" i="2"/>
  <c r="G196" i="2"/>
  <c r="H196" i="2"/>
  <c r="I196" i="2"/>
  <c r="A197" i="2"/>
  <c r="B197" i="2"/>
  <c r="C197" i="2"/>
  <c r="D197" i="2"/>
  <c r="E197" i="2"/>
  <c r="F197" i="2"/>
  <c r="G197" i="2"/>
  <c r="H197" i="2"/>
  <c r="I197" i="2"/>
  <c r="A198" i="2"/>
  <c r="B198" i="2"/>
  <c r="C198" i="2"/>
  <c r="D198" i="2"/>
  <c r="E198" i="2"/>
  <c r="F198" i="2"/>
  <c r="G198" i="2"/>
  <c r="H198" i="2"/>
  <c r="I198" i="2"/>
  <c r="A199" i="2"/>
  <c r="B199" i="2"/>
  <c r="C199" i="2"/>
  <c r="D199" i="2"/>
  <c r="E199" i="2"/>
  <c r="F199" i="2"/>
  <c r="G199" i="2"/>
  <c r="H199" i="2"/>
  <c r="I199" i="2"/>
  <c r="A200" i="2"/>
  <c r="B200" i="2"/>
  <c r="C200" i="2"/>
  <c r="D200" i="2"/>
  <c r="E200" i="2"/>
  <c r="F200" i="2"/>
  <c r="G200" i="2"/>
  <c r="H200" i="2"/>
  <c r="I200" i="2"/>
  <c r="A201" i="2"/>
  <c r="B201" i="2"/>
  <c r="C201" i="2"/>
  <c r="D201" i="2"/>
  <c r="E201" i="2"/>
  <c r="F201" i="2"/>
  <c r="G201" i="2"/>
  <c r="H201" i="2"/>
  <c r="I201" i="2"/>
  <c r="A202" i="2"/>
  <c r="B202" i="2"/>
  <c r="C202" i="2"/>
  <c r="D202" i="2"/>
  <c r="E202" i="2"/>
  <c r="F202" i="2"/>
  <c r="G202" i="2"/>
  <c r="H202" i="2"/>
  <c r="I202" i="2"/>
  <c r="A203" i="2"/>
  <c r="B203" i="2"/>
  <c r="C203" i="2"/>
  <c r="D203" i="2"/>
  <c r="E203" i="2"/>
  <c r="F203" i="2"/>
  <c r="G203" i="2"/>
  <c r="H203" i="2"/>
  <c r="I203" i="2"/>
  <c r="A204" i="2"/>
  <c r="B204" i="2"/>
  <c r="C204" i="2"/>
  <c r="D204" i="2"/>
  <c r="E204" i="2"/>
  <c r="F204" i="2"/>
  <c r="G204" i="2"/>
  <c r="H204" i="2"/>
  <c r="I204" i="2"/>
  <c r="A205" i="2"/>
  <c r="B205" i="2"/>
  <c r="C205" i="2"/>
  <c r="D205" i="2"/>
  <c r="E205" i="2"/>
  <c r="F205" i="2"/>
  <c r="G205" i="2"/>
  <c r="H205" i="2"/>
  <c r="I205" i="2"/>
  <c r="A206" i="2"/>
  <c r="B206" i="2"/>
  <c r="C206" i="2"/>
  <c r="D206" i="2"/>
  <c r="E206" i="2"/>
  <c r="F206" i="2"/>
  <c r="G206" i="2"/>
  <c r="H206" i="2"/>
  <c r="I206" i="2"/>
  <c r="A207" i="2"/>
  <c r="B207" i="2"/>
  <c r="C207" i="2"/>
  <c r="D207" i="2"/>
  <c r="E207" i="2"/>
  <c r="F207" i="2"/>
  <c r="G207" i="2"/>
  <c r="H207" i="2"/>
  <c r="I207" i="2"/>
  <c r="A208" i="2"/>
  <c r="B208" i="2"/>
  <c r="C208" i="2"/>
  <c r="D208" i="2"/>
  <c r="E208" i="2"/>
  <c r="F208" i="2"/>
  <c r="G208" i="2"/>
  <c r="H208" i="2"/>
  <c r="I208" i="2"/>
  <c r="A209" i="2"/>
  <c r="B209" i="2"/>
  <c r="C209" i="2"/>
  <c r="D209" i="2"/>
  <c r="E209" i="2"/>
  <c r="F209" i="2"/>
  <c r="G209" i="2"/>
  <c r="H209" i="2"/>
  <c r="I209" i="2"/>
  <c r="A210" i="2"/>
  <c r="B210" i="2"/>
  <c r="C210" i="2"/>
  <c r="D210" i="2"/>
  <c r="E210" i="2"/>
  <c r="F210" i="2"/>
  <c r="G210" i="2"/>
  <c r="H210" i="2"/>
  <c r="I210" i="2"/>
  <c r="A211" i="2"/>
  <c r="B211" i="2"/>
  <c r="C211" i="2"/>
  <c r="D211" i="2"/>
  <c r="E211" i="2"/>
  <c r="F211" i="2"/>
  <c r="G211" i="2"/>
  <c r="H211" i="2"/>
  <c r="I211" i="2"/>
  <c r="A212" i="2"/>
  <c r="B212" i="2"/>
  <c r="C212" i="2"/>
  <c r="D212" i="2"/>
  <c r="E212" i="2"/>
  <c r="F212" i="2"/>
  <c r="G212" i="2"/>
  <c r="H212" i="2"/>
  <c r="I212" i="2"/>
  <c r="A213" i="2"/>
  <c r="B213" i="2"/>
  <c r="C213" i="2"/>
  <c r="D213" i="2"/>
  <c r="E213" i="2"/>
  <c r="F213" i="2"/>
  <c r="G213" i="2"/>
  <c r="H213" i="2"/>
  <c r="I213" i="2"/>
  <c r="A214" i="2"/>
  <c r="B214" i="2"/>
  <c r="C214" i="2"/>
  <c r="D214" i="2"/>
  <c r="E214" i="2"/>
  <c r="F214" i="2"/>
  <c r="G214" i="2"/>
  <c r="H214" i="2"/>
  <c r="I214" i="2"/>
  <c r="A215" i="2"/>
  <c r="B215" i="2"/>
  <c r="C215" i="2"/>
  <c r="D215" i="2"/>
  <c r="E215" i="2"/>
  <c r="F215" i="2"/>
  <c r="G215" i="2"/>
  <c r="H215" i="2"/>
  <c r="I215" i="2"/>
  <c r="A216" i="2"/>
  <c r="B216" i="2"/>
  <c r="C216" i="2"/>
  <c r="D216" i="2"/>
  <c r="E216" i="2"/>
  <c r="F216" i="2"/>
  <c r="G216" i="2"/>
  <c r="H216" i="2"/>
  <c r="I216" i="2"/>
  <c r="A217" i="2"/>
  <c r="B217" i="2"/>
  <c r="C217" i="2"/>
  <c r="D217" i="2"/>
  <c r="E217" i="2"/>
  <c r="F217" i="2"/>
  <c r="G217" i="2"/>
  <c r="H217" i="2"/>
  <c r="I217" i="2"/>
  <c r="A218" i="2"/>
  <c r="B218" i="2"/>
  <c r="C218" i="2"/>
  <c r="D218" i="2"/>
  <c r="E218" i="2"/>
  <c r="F218" i="2"/>
  <c r="G218" i="2"/>
  <c r="H218" i="2"/>
  <c r="I218" i="2"/>
  <c r="A219" i="2"/>
  <c r="B219" i="2"/>
  <c r="C219" i="2"/>
  <c r="D219" i="2"/>
  <c r="E219" i="2"/>
  <c r="F219" i="2"/>
  <c r="G219" i="2"/>
  <c r="H219" i="2"/>
  <c r="I219" i="2"/>
  <c r="A220" i="2"/>
  <c r="B220" i="2"/>
  <c r="C220" i="2"/>
  <c r="D220" i="2"/>
  <c r="E220" i="2"/>
  <c r="F220" i="2"/>
  <c r="G220" i="2"/>
  <c r="H220" i="2"/>
  <c r="I220" i="2"/>
  <c r="A221" i="2"/>
  <c r="B221" i="2"/>
  <c r="C221" i="2"/>
  <c r="D221" i="2"/>
  <c r="E221" i="2"/>
  <c r="F221" i="2"/>
  <c r="G221" i="2"/>
  <c r="H221" i="2"/>
  <c r="I221" i="2"/>
  <c r="A222" i="2"/>
  <c r="B222" i="2"/>
  <c r="C222" i="2"/>
  <c r="D222" i="2"/>
  <c r="E222" i="2"/>
  <c r="F222" i="2"/>
  <c r="G222" i="2"/>
  <c r="H222" i="2"/>
  <c r="I222" i="2"/>
  <c r="A223" i="2"/>
  <c r="B223" i="2"/>
  <c r="C223" i="2"/>
  <c r="D223" i="2"/>
  <c r="E223" i="2"/>
  <c r="F223" i="2"/>
  <c r="G223" i="2"/>
  <c r="H223" i="2"/>
  <c r="I223" i="2"/>
  <c r="A224" i="2"/>
  <c r="B224" i="2"/>
  <c r="C224" i="2"/>
  <c r="D224" i="2"/>
  <c r="E224" i="2"/>
  <c r="F224" i="2"/>
  <c r="G224" i="2"/>
  <c r="H224" i="2"/>
  <c r="I224" i="2"/>
  <c r="A225" i="2"/>
  <c r="B225" i="2"/>
  <c r="C225" i="2"/>
  <c r="D225" i="2"/>
  <c r="E225" i="2"/>
  <c r="F225" i="2"/>
  <c r="G225" i="2"/>
  <c r="H225" i="2"/>
  <c r="I225" i="2"/>
  <c r="A226" i="2"/>
  <c r="B226" i="2"/>
  <c r="C226" i="2"/>
  <c r="D226" i="2"/>
  <c r="E226" i="2"/>
  <c r="F226" i="2"/>
  <c r="G226" i="2"/>
  <c r="H226" i="2"/>
  <c r="I226" i="2"/>
  <c r="A227" i="2"/>
  <c r="B227" i="2"/>
  <c r="C227" i="2"/>
  <c r="D227" i="2"/>
  <c r="E227" i="2"/>
  <c r="F227" i="2"/>
  <c r="G227" i="2"/>
  <c r="H227" i="2"/>
  <c r="I227" i="2"/>
  <c r="A228" i="2"/>
  <c r="B228" i="2"/>
  <c r="C228" i="2"/>
  <c r="D228" i="2"/>
  <c r="E228" i="2"/>
  <c r="F228" i="2"/>
  <c r="G228" i="2"/>
  <c r="H228" i="2"/>
  <c r="I228" i="2"/>
  <c r="A229" i="2"/>
  <c r="B229" i="2"/>
  <c r="C229" i="2"/>
  <c r="D229" i="2"/>
  <c r="E229" i="2"/>
  <c r="F229" i="2"/>
  <c r="G229" i="2"/>
  <c r="H229" i="2"/>
  <c r="I229" i="2"/>
  <c r="A230" i="2"/>
  <c r="B230" i="2"/>
  <c r="C230" i="2"/>
  <c r="D230" i="2"/>
  <c r="E230" i="2"/>
  <c r="F230" i="2"/>
  <c r="G230" i="2"/>
  <c r="H230" i="2"/>
  <c r="I230" i="2"/>
  <c r="A231" i="2"/>
  <c r="B231" i="2"/>
  <c r="C231" i="2"/>
  <c r="D231" i="2"/>
  <c r="E231" i="2"/>
  <c r="F231" i="2"/>
  <c r="G231" i="2"/>
  <c r="H231" i="2"/>
  <c r="I231" i="2"/>
  <c r="A232" i="2"/>
  <c r="B232" i="2"/>
  <c r="C232" i="2"/>
  <c r="D232" i="2"/>
  <c r="E232" i="2"/>
  <c r="F232" i="2"/>
  <c r="G232" i="2"/>
  <c r="H232" i="2"/>
  <c r="I232" i="2"/>
  <c r="A233" i="2"/>
  <c r="B233" i="2"/>
  <c r="C233" i="2"/>
  <c r="D233" i="2"/>
  <c r="E233" i="2"/>
  <c r="F233" i="2"/>
  <c r="G233" i="2"/>
  <c r="H233" i="2"/>
  <c r="I233" i="2"/>
  <c r="A234" i="2"/>
  <c r="B234" i="2"/>
  <c r="C234" i="2"/>
  <c r="D234" i="2"/>
  <c r="E234" i="2"/>
  <c r="F234" i="2"/>
  <c r="G234" i="2"/>
  <c r="H234" i="2"/>
  <c r="I234" i="2"/>
  <c r="A235" i="2"/>
  <c r="B235" i="2"/>
  <c r="C235" i="2"/>
  <c r="D235" i="2"/>
  <c r="E235" i="2"/>
  <c r="F235" i="2"/>
  <c r="G235" i="2"/>
  <c r="H235" i="2"/>
  <c r="I235" i="2"/>
  <c r="A236" i="2"/>
  <c r="B236" i="2"/>
  <c r="C236" i="2"/>
  <c r="D236" i="2"/>
  <c r="E236" i="2"/>
  <c r="F236" i="2"/>
  <c r="G236" i="2"/>
  <c r="H236" i="2"/>
  <c r="I236" i="2"/>
  <c r="A237" i="2"/>
  <c r="B237" i="2"/>
  <c r="C237" i="2"/>
  <c r="D237" i="2"/>
  <c r="E237" i="2"/>
  <c r="F237" i="2"/>
  <c r="G237" i="2"/>
  <c r="H237" i="2"/>
  <c r="I237" i="2"/>
  <c r="A238" i="2"/>
  <c r="B238" i="2"/>
  <c r="C238" i="2"/>
  <c r="D238" i="2"/>
  <c r="E238" i="2"/>
  <c r="F238" i="2"/>
  <c r="G238" i="2"/>
  <c r="H238" i="2"/>
  <c r="I238" i="2"/>
  <c r="A239" i="2"/>
  <c r="B239" i="2"/>
  <c r="C239" i="2"/>
  <c r="D239" i="2"/>
  <c r="E239" i="2"/>
  <c r="F239" i="2"/>
  <c r="G239" i="2"/>
  <c r="H239" i="2"/>
  <c r="I239" i="2"/>
  <c r="A240" i="2"/>
  <c r="B240" i="2"/>
  <c r="C240" i="2"/>
  <c r="D240" i="2"/>
  <c r="E240" i="2"/>
  <c r="F240" i="2"/>
  <c r="G240" i="2"/>
  <c r="H240" i="2"/>
  <c r="I240" i="2"/>
  <c r="A241" i="2"/>
  <c r="B241" i="2"/>
  <c r="C241" i="2"/>
  <c r="D241" i="2"/>
  <c r="E241" i="2"/>
  <c r="F241" i="2"/>
  <c r="G241" i="2"/>
  <c r="H241" i="2"/>
  <c r="I241" i="2"/>
  <c r="A242" i="2"/>
  <c r="B242" i="2"/>
  <c r="C242" i="2"/>
  <c r="D242" i="2"/>
  <c r="E242" i="2"/>
  <c r="F242" i="2"/>
  <c r="G242" i="2"/>
  <c r="H242" i="2"/>
  <c r="I242" i="2"/>
  <c r="A243" i="2"/>
  <c r="B243" i="2"/>
  <c r="C243" i="2"/>
  <c r="D243" i="2"/>
  <c r="E243" i="2"/>
  <c r="F243" i="2"/>
  <c r="G243" i="2"/>
  <c r="H243" i="2"/>
  <c r="I243" i="2"/>
  <c r="A244" i="2"/>
  <c r="B244" i="2"/>
  <c r="C244" i="2"/>
  <c r="D244" i="2"/>
  <c r="E244" i="2"/>
  <c r="F244" i="2"/>
  <c r="G244" i="2"/>
  <c r="H244" i="2"/>
  <c r="I244" i="2"/>
  <c r="A245" i="2"/>
  <c r="B245" i="2"/>
  <c r="C245" i="2"/>
  <c r="D245" i="2"/>
  <c r="E245" i="2"/>
  <c r="F245" i="2"/>
  <c r="G245" i="2"/>
  <c r="H245" i="2"/>
  <c r="I245" i="2"/>
  <c r="A246" i="2"/>
  <c r="B246" i="2"/>
  <c r="C246" i="2"/>
  <c r="D246" i="2"/>
  <c r="E246" i="2"/>
  <c r="F246" i="2"/>
  <c r="G246" i="2"/>
  <c r="H246" i="2"/>
  <c r="I246" i="2"/>
  <c r="A247" i="2"/>
  <c r="B247" i="2"/>
  <c r="C247" i="2"/>
  <c r="D247" i="2"/>
  <c r="E247" i="2"/>
  <c r="F247" i="2"/>
  <c r="G247" i="2"/>
  <c r="H247" i="2"/>
  <c r="I247" i="2"/>
  <c r="A248" i="2"/>
  <c r="B248" i="2"/>
  <c r="C248" i="2"/>
  <c r="D248" i="2"/>
  <c r="E248" i="2"/>
  <c r="F248" i="2"/>
  <c r="G248" i="2"/>
  <c r="H248" i="2"/>
  <c r="I248" i="2"/>
  <c r="A249" i="2"/>
  <c r="B249" i="2"/>
  <c r="C249" i="2"/>
  <c r="D249" i="2"/>
  <c r="E249" i="2"/>
  <c r="F249" i="2"/>
  <c r="G249" i="2"/>
  <c r="H249" i="2"/>
  <c r="I249" i="2"/>
  <c r="A250" i="2"/>
  <c r="B250" i="2"/>
  <c r="C250" i="2"/>
  <c r="D250" i="2"/>
  <c r="E250" i="2"/>
  <c r="F250" i="2"/>
  <c r="G250" i="2"/>
  <c r="H250" i="2"/>
  <c r="I250" i="2"/>
  <c r="A251" i="2"/>
  <c r="B251" i="2"/>
  <c r="C251" i="2"/>
  <c r="D251" i="2"/>
  <c r="E251" i="2"/>
  <c r="F251" i="2"/>
  <c r="G251" i="2"/>
  <c r="H251" i="2"/>
  <c r="I251" i="2"/>
  <c r="A252" i="2"/>
  <c r="B252" i="2"/>
  <c r="C252" i="2"/>
  <c r="D252" i="2"/>
  <c r="E252" i="2"/>
  <c r="F252" i="2"/>
  <c r="G252" i="2"/>
  <c r="H252" i="2"/>
  <c r="I252" i="2"/>
  <c r="A253" i="2"/>
  <c r="B253" i="2"/>
  <c r="C253" i="2"/>
  <c r="D253" i="2"/>
  <c r="E253" i="2"/>
  <c r="F253" i="2"/>
  <c r="G253" i="2"/>
  <c r="H253" i="2"/>
  <c r="I253" i="2"/>
  <c r="A254" i="2"/>
  <c r="B254" i="2"/>
  <c r="C254" i="2"/>
  <c r="D254" i="2"/>
  <c r="E254" i="2"/>
  <c r="F254" i="2"/>
  <c r="G254" i="2"/>
  <c r="H254" i="2"/>
  <c r="I254" i="2"/>
  <c r="A255" i="2"/>
  <c r="B255" i="2"/>
  <c r="C255" i="2"/>
  <c r="D255" i="2"/>
  <c r="E255" i="2"/>
  <c r="F255" i="2"/>
  <c r="G255" i="2"/>
  <c r="H255" i="2"/>
  <c r="I255" i="2"/>
  <c r="A256" i="2"/>
  <c r="B256" i="2"/>
  <c r="C256" i="2"/>
  <c r="D256" i="2"/>
  <c r="E256" i="2"/>
  <c r="F256" i="2"/>
  <c r="G256" i="2"/>
  <c r="H256" i="2"/>
  <c r="I256" i="2"/>
  <c r="A257" i="2"/>
  <c r="B257" i="2"/>
  <c r="C257" i="2"/>
  <c r="D257" i="2"/>
  <c r="E257" i="2"/>
  <c r="F257" i="2"/>
  <c r="G257" i="2"/>
  <c r="H257" i="2"/>
  <c r="I257" i="2"/>
  <c r="A258" i="2"/>
  <c r="B258" i="2"/>
  <c r="C258" i="2"/>
  <c r="D258" i="2"/>
  <c r="E258" i="2"/>
  <c r="F258" i="2"/>
  <c r="G258" i="2"/>
  <c r="H258" i="2"/>
  <c r="I258" i="2"/>
  <c r="A259" i="2"/>
  <c r="B259" i="2"/>
  <c r="C259" i="2"/>
  <c r="D259" i="2"/>
  <c r="E259" i="2"/>
  <c r="F259" i="2"/>
  <c r="G259" i="2"/>
  <c r="H259" i="2"/>
  <c r="I259" i="2"/>
  <c r="A260" i="2"/>
  <c r="B260" i="2"/>
  <c r="C260" i="2"/>
  <c r="D260" i="2"/>
  <c r="E260" i="2"/>
  <c r="F260" i="2"/>
  <c r="G260" i="2"/>
  <c r="H260" i="2"/>
  <c r="I260" i="2"/>
  <c r="I6" i="7"/>
  <c r="J6" i="7"/>
  <c r="K6" i="7"/>
  <c r="L6" i="7"/>
  <c r="M6" i="7"/>
  <c r="N6" i="7"/>
  <c r="I7" i="7"/>
  <c r="J7" i="7"/>
  <c r="K7" i="7"/>
  <c r="L7" i="7"/>
  <c r="M7" i="7"/>
  <c r="N7" i="7"/>
  <c r="I8" i="7"/>
  <c r="J8" i="7"/>
  <c r="K8" i="7"/>
  <c r="L8" i="7"/>
  <c r="M8" i="7"/>
  <c r="N8" i="7"/>
  <c r="I9" i="7"/>
  <c r="J9" i="7"/>
  <c r="K9" i="7"/>
  <c r="L9" i="7"/>
  <c r="M9" i="7"/>
  <c r="N9" i="7"/>
  <c r="I10" i="7"/>
  <c r="J10" i="7"/>
  <c r="K10" i="7"/>
  <c r="L10" i="7"/>
  <c r="M10" i="7"/>
  <c r="N10" i="7"/>
  <c r="I11" i="7"/>
  <c r="J11" i="7"/>
  <c r="K11" i="7"/>
  <c r="L11" i="7"/>
  <c r="M11" i="7"/>
  <c r="N11" i="7"/>
  <c r="I12" i="7"/>
  <c r="J12" i="7"/>
  <c r="K12" i="7"/>
  <c r="L12" i="7"/>
  <c r="M12" i="7"/>
  <c r="N12" i="7"/>
  <c r="I13" i="7"/>
  <c r="J13" i="7"/>
  <c r="K13" i="7"/>
  <c r="L13" i="7"/>
  <c r="M13" i="7"/>
  <c r="N13" i="7"/>
  <c r="I14" i="7"/>
  <c r="J14" i="7"/>
  <c r="K14" i="7"/>
  <c r="L14" i="7"/>
  <c r="M14" i="7"/>
  <c r="N14" i="7"/>
  <c r="I15" i="7"/>
  <c r="J15" i="7"/>
  <c r="K15" i="7"/>
  <c r="L15" i="7"/>
  <c r="M15" i="7"/>
  <c r="N15" i="7"/>
  <c r="I16" i="7"/>
  <c r="J16" i="7"/>
  <c r="K16" i="7"/>
  <c r="L16" i="7"/>
  <c r="M16" i="7"/>
  <c r="N16" i="7"/>
  <c r="C21" i="7"/>
  <c r="C22" i="7"/>
  <c r="Q22" i="7"/>
  <c r="R22" i="7"/>
  <c r="S22" i="7"/>
  <c r="C23" i="7"/>
  <c r="Q23" i="7"/>
  <c r="R23" i="7"/>
  <c r="S23" i="7"/>
  <c r="C24" i="7"/>
  <c r="Q24" i="7"/>
  <c r="R24" i="7"/>
  <c r="S24" i="7"/>
  <c r="C25" i="7"/>
  <c r="Q25" i="7"/>
  <c r="R25" i="7"/>
  <c r="S25" i="7"/>
  <c r="C26" i="7"/>
  <c r="Q26" i="7"/>
  <c r="R26" i="7"/>
  <c r="S26" i="7"/>
  <c r="C27" i="7"/>
  <c r="Q27" i="7"/>
  <c r="R27" i="7"/>
  <c r="S27" i="7"/>
  <c r="C28" i="7"/>
  <c r="Q28" i="7"/>
  <c r="R28" i="7"/>
  <c r="S28" i="7"/>
  <c r="C29" i="7"/>
  <c r="Q29" i="7"/>
  <c r="R29" i="7"/>
  <c r="S29" i="7"/>
  <c r="C30" i="7"/>
  <c r="Q30" i="7"/>
  <c r="R30" i="7"/>
  <c r="S30" i="7"/>
  <c r="C31" i="7"/>
  <c r="Q31" i="7"/>
  <c r="R31" i="7"/>
  <c r="S31" i="7"/>
  <c r="C32" i="7"/>
  <c r="Q32" i="7"/>
  <c r="R32" i="7"/>
  <c r="S32" i="7"/>
  <c r="C33" i="7"/>
  <c r="J33" i="7"/>
  <c r="Q33" i="7"/>
  <c r="R33" i="7"/>
  <c r="S33" i="7"/>
  <c r="C34" i="7"/>
  <c r="L34" i="7"/>
  <c r="M34" i="7"/>
  <c r="N34" i="7"/>
  <c r="O34" i="7"/>
  <c r="C35" i="7"/>
  <c r="D35" i="7"/>
  <c r="E35" i="7"/>
  <c r="C36" i="7"/>
  <c r="D36" i="7"/>
  <c r="E36" i="7"/>
  <c r="C37" i="7"/>
  <c r="D37" i="7"/>
  <c r="E37" i="7"/>
  <c r="J37" i="7"/>
  <c r="D38" i="7"/>
  <c r="C39" i="7"/>
  <c r="D39" i="7"/>
  <c r="E39" i="7"/>
  <c r="C40" i="7"/>
  <c r="D40" i="7"/>
  <c r="E40" i="7"/>
  <c r="C41" i="7"/>
  <c r="D41" i="7"/>
  <c r="E41" i="7"/>
  <c r="J41" i="7"/>
  <c r="C42" i="7"/>
  <c r="D42" i="7"/>
  <c r="E42" i="7"/>
  <c r="D43" i="7"/>
  <c r="C44" i="7"/>
  <c r="D44" i="7"/>
  <c r="E44" i="7"/>
  <c r="C45" i="7"/>
  <c r="D45" i="7"/>
  <c r="E45" i="7"/>
  <c r="J45" i="7"/>
  <c r="C46" i="7"/>
  <c r="D46" i="7"/>
  <c r="E46" i="7"/>
  <c r="C47" i="7"/>
  <c r="D47" i="7"/>
  <c r="E47" i="7"/>
  <c r="J47" i="7"/>
  <c r="D48" i="7"/>
  <c r="I48" i="7"/>
  <c r="C49" i="7"/>
  <c r="D49" i="7"/>
  <c r="E49" i="7"/>
  <c r="C50" i="7"/>
  <c r="D50" i="7"/>
  <c r="E50" i="7"/>
  <c r="C51" i="7"/>
  <c r="D51" i="7"/>
  <c r="E51" i="7"/>
  <c r="C52" i="7"/>
  <c r="D52" i="7"/>
  <c r="E52" i="7"/>
  <c r="C53" i="7"/>
  <c r="D53" i="7"/>
  <c r="E53" i="7"/>
  <c r="D54" i="7"/>
  <c r="C55" i="7"/>
  <c r="D55" i="7"/>
  <c r="E55" i="7"/>
  <c r="C56" i="7"/>
  <c r="D56" i="7"/>
  <c r="E56" i="7"/>
  <c r="C57" i="7"/>
  <c r="D57" i="7"/>
  <c r="E57" i="7"/>
  <c r="C58" i="7"/>
  <c r="D58" i="7"/>
  <c r="E58" i="7"/>
  <c r="D59" i="7"/>
  <c r="C60" i="7"/>
  <c r="D60" i="7"/>
  <c r="E60" i="7"/>
  <c r="C61" i="7"/>
  <c r="D61" i="7"/>
  <c r="E61" i="7"/>
  <c r="C62" i="7"/>
  <c r="D62" i="7"/>
  <c r="E62" i="7"/>
  <c r="C63" i="7"/>
  <c r="D63" i="7"/>
  <c r="E63" i="7"/>
  <c r="C64" i="7"/>
  <c r="D64" i="7"/>
  <c r="E64" i="7"/>
  <c r="D65" i="7"/>
  <c r="C66" i="7"/>
  <c r="D66" i="7"/>
  <c r="E66" i="7"/>
  <c r="C67" i="7"/>
  <c r="D67" i="7"/>
  <c r="E67" i="7"/>
  <c r="D68" i="7"/>
  <c r="C69" i="7"/>
  <c r="D69" i="7"/>
  <c r="E69" i="7"/>
  <c r="C70" i="7"/>
  <c r="D70" i="7"/>
  <c r="E70" i="7"/>
  <c r="C71" i="7"/>
  <c r="D71" i="7"/>
  <c r="E71" i="7"/>
  <c r="C72" i="7"/>
  <c r="D72" i="7"/>
  <c r="E72" i="7"/>
  <c r="C73" i="7"/>
  <c r="D73" i="7"/>
  <c r="E73" i="7"/>
  <c r="C74" i="7"/>
  <c r="D74" i="7"/>
  <c r="E74" i="7"/>
  <c r="C75" i="7"/>
  <c r="D75" i="7"/>
  <c r="E75" i="7"/>
  <c r="C76" i="7"/>
  <c r="D76" i="7"/>
  <c r="E76" i="7"/>
  <c r="C77" i="7"/>
  <c r="D77" i="7"/>
  <c r="E77" i="7"/>
  <c r="C78" i="7"/>
  <c r="D78" i="7"/>
  <c r="E78" i="7"/>
  <c r="A79" i="7"/>
  <c r="D79" i="7"/>
  <c r="E79" i="7"/>
  <c r="O5" i="5"/>
  <c r="O6" i="5"/>
  <c r="O7" i="5"/>
  <c r="O8" i="5"/>
  <c r="O9" i="5"/>
  <c r="O10" i="5"/>
  <c r="O11" i="5"/>
  <c r="O12" i="5"/>
  <c r="O13" i="5"/>
  <c r="O14" i="5"/>
  <c r="O15" i="5"/>
  <c r="K18" i="5"/>
  <c r="L18" i="5"/>
  <c r="D20" i="5"/>
  <c r="E20" i="5"/>
  <c r="F20" i="5"/>
  <c r="G20" i="5"/>
  <c r="H20" i="5"/>
  <c r="I20" i="5"/>
  <c r="D21" i="5"/>
  <c r="E21" i="5"/>
  <c r="F21" i="5"/>
  <c r="G21" i="5"/>
  <c r="H21" i="5"/>
  <c r="I21" i="5"/>
  <c r="D22" i="5"/>
  <c r="E22" i="5"/>
  <c r="F22" i="5"/>
  <c r="G22" i="5"/>
  <c r="H22" i="5"/>
  <c r="I22" i="5"/>
  <c r="L22" i="5"/>
  <c r="M22" i="5"/>
  <c r="N22" i="5"/>
  <c r="D23" i="5"/>
  <c r="E23" i="5"/>
  <c r="F23" i="5"/>
  <c r="G23" i="5"/>
  <c r="H23" i="5"/>
  <c r="I23" i="5"/>
  <c r="L23" i="5"/>
  <c r="M23" i="5"/>
  <c r="N23" i="5"/>
  <c r="D24" i="5"/>
  <c r="E24" i="5"/>
  <c r="F24" i="5"/>
  <c r="G24" i="5"/>
  <c r="H24" i="5"/>
  <c r="I24" i="5"/>
  <c r="L24" i="5"/>
  <c r="M24" i="5"/>
  <c r="N24" i="5"/>
  <c r="D25" i="5"/>
  <c r="E25" i="5"/>
  <c r="F25" i="5"/>
  <c r="G25" i="5"/>
  <c r="H25" i="5"/>
  <c r="I25" i="5"/>
  <c r="L25" i="5"/>
  <c r="M25" i="5"/>
  <c r="N25" i="5"/>
  <c r="D26" i="5"/>
  <c r="E26" i="5"/>
  <c r="F26" i="5"/>
  <c r="G26" i="5"/>
  <c r="H26" i="5"/>
  <c r="I26" i="5"/>
  <c r="L26" i="5"/>
  <c r="M26" i="5"/>
  <c r="N26" i="5"/>
  <c r="D27" i="5"/>
  <c r="E27" i="5"/>
  <c r="F27" i="5"/>
  <c r="G27" i="5"/>
  <c r="H27" i="5"/>
  <c r="I27" i="5"/>
  <c r="L27" i="5"/>
  <c r="M27" i="5"/>
  <c r="N27" i="5"/>
  <c r="D28" i="5"/>
  <c r="E28" i="5"/>
  <c r="F28" i="5"/>
  <c r="G28" i="5"/>
  <c r="H28" i="5"/>
  <c r="I28" i="5"/>
  <c r="D29" i="5"/>
  <c r="E29" i="5"/>
  <c r="F29" i="5"/>
  <c r="G29" i="5"/>
  <c r="H29" i="5"/>
  <c r="I29" i="5"/>
  <c r="D30" i="5"/>
  <c r="E30" i="5"/>
  <c r="F30" i="5"/>
  <c r="G30" i="5"/>
  <c r="H30" i="5"/>
  <c r="I30" i="5"/>
  <c r="K31" i="5"/>
  <c r="O5" i="9"/>
  <c r="O6" i="9"/>
  <c r="O7" i="9"/>
  <c r="O8" i="9"/>
  <c r="O9" i="9"/>
  <c r="O10" i="9"/>
  <c r="O11" i="9"/>
  <c r="O12" i="9"/>
  <c r="O13" i="9"/>
  <c r="O14" i="9"/>
  <c r="O15" i="9"/>
  <c r="K18" i="9"/>
  <c r="L18" i="9"/>
  <c r="D20" i="9"/>
  <c r="E20" i="9"/>
  <c r="F20" i="9"/>
  <c r="G20" i="9"/>
  <c r="H20" i="9"/>
  <c r="I20" i="9"/>
  <c r="D21" i="9"/>
  <c r="E21" i="9"/>
  <c r="F21" i="9"/>
  <c r="G21" i="9"/>
  <c r="H21" i="9"/>
  <c r="I21" i="9"/>
  <c r="D22" i="9"/>
  <c r="E22" i="9"/>
  <c r="F22" i="9"/>
  <c r="G22" i="9"/>
  <c r="H22" i="9"/>
  <c r="I22" i="9"/>
  <c r="L22" i="9"/>
  <c r="M22" i="9"/>
  <c r="N22" i="9"/>
  <c r="D23" i="9"/>
  <c r="E23" i="9"/>
  <c r="F23" i="9"/>
  <c r="G23" i="9"/>
  <c r="H23" i="9"/>
  <c r="I23" i="9"/>
  <c r="L23" i="9"/>
  <c r="M23" i="9"/>
  <c r="N23" i="9"/>
  <c r="D24" i="9"/>
  <c r="E24" i="9"/>
  <c r="F24" i="9"/>
  <c r="G24" i="9"/>
  <c r="H24" i="9"/>
  <c r="I24" i="9"/>
  <c r="L24" i="9"/>
  <c r="M24" i="9"/>
  <c r="N24" i="9"/>
  <c r="D25" i="9"/>
  <c r="E25" i="9"/>
  <c r="F25" i="9"/>
  <c r="G25" i="9"/>
  <c r="H25" i="9"/>
  <c r="I25" i="9"/>
  <c r="L25" i="9"/>
  <c r="M25" i="9"/>
  <c r="N25" i="9"/>
  <c r="D26" i="9"/>
  <c r="E26" i="9"/>
  <c r="F26" i="9"/>
  <c r="G26" i="9"/>
  <c r="H26" i="9"/>
  <c r="I26" i="9"/>
  <c r="L26" i="9"/>
  <c r="M26" i="9"/>
  <c r="N26" i="9"/>
  <c r="D27" i="9"/>
  <c r="E27" i="9"/>
  <c r="F27" i="9"/>
  <c r="G27" i="9"/>
  <c r="H27" i="9"/>
  <c r="I27" i="9"/>
  <c r="L27" i="9"/>
  <c r="M27" i="9"/>
  <c r="N27" i="9"/>
  <c r="D28" i="9"/>
  <c r="E28" i="9"/>
  <c r="F28" i="9"/>
  <c r="G28" i="9"/>
  <c r="H28" i="9"/>
  <c r="I28" i="9"/>
  <c r="D29" i="9"/>
  <c r="E29" i="9"/>
  <c r="F29" i="9"/>
  <c r="G29" i="9"/>
  <c r="H29" i="9"/>
  <c r="I29" i="9"/>
  <c r="D30" i="9"/>
  <c r="E30" i="9"/>
  <c r="F30" i="9"/>
  <c r="G30" i="9"/>
  <c r="H30" i="9"/>
  <c r="I30" i="9"/>
  <c r="K31" i="9"/>
  <c r="L34" i="9"/>
  <c r="O5" i="8"/>
  <c r="O6" i="8"/>
  <c r="O7" i="8"/>
  <c r="O8" i="8"/>
  <c r="O9" i="8"/>
  <c r="O10" i="8"/>
  <c r="O11" i="8"/>
  <c r="O12" i="8"/>
  <c r="O13" i="8"/>
  <c r="O14" i="8"/>
  <c r="O15" i="8"/>
  <c r="K18" i="8"/>
  <c r="L18" i="8"/>
  <c r="D20" i="8"/>
  <c r="E20" i="8"/>
  <c r="F20" i="8"/>
  <c r="G20" i="8"/>
  <c r="H20" i="8"/>
  <c r="I20" i="8"/>
  <c r="D21" i="8"/>
  <c r="E21" i="8"/>
  <c r="F21" i="8"/>
  <c r="G21" i="8"/>
  <c r="H21" i="8"/>
  <c r="I21" i="8"/>
  <c r="D22" i="8"/>
  <c r="E22" i="8"/>
  <c r="F22" i="8"/>
  <c r="G22" i="8"/>
  <c r="H22" i="8"/>
  <c r="I22" i="8"/>
  <c r="L22" i="8"/>
  <c r="M22" i="8"/>
  <c r="N22" i="8"/>
  <c r="D23" i="8"/>
  <c r="E23" i="8"/>
  <c r="F23" i="8"/>
  <c r="G23" i="8"/>
  <c r="H23" i="8"/>
  <c r="I23" i="8"/>
  <c r="L23" i="8"/>
  <c r="M23" i="8"/>
  <c r="N23" i="8"/>
  <c r="D24" i="8"/>
  <c r="E24" i="8"/>
  <c r="F24" i="8"/>
  <c r="G24" i="8"/>
  <c r="H24" i="8"/>
  <c r="I24" i="8"/>
  <c r="L24" i="8"/>
  <c r="M24" i="8"/>
  <c r="N24" i="8"/>
  <c r="D25" i="8"/>
  <c r="E25" i="8"/>
  <c r="F25" i="8"/>
  <c r="G25" i="8"/>
  <c r="H25" i="8"/>
  <c r="I25" i="8"/>
  <c r="L25" i="8"/>
  <c r="M25" i="8"/>
  <c r="N25" i="8"/>
  <c r="D26" i="8"/>
  <c r="E26" i="8"/>
  <c r="F26" i="8"/>
  <c r="G26" i="8"/>
  <c r="H26" i="8"/>
  <c r="I26" i="8"/>
  <c r="L26" i="8"/>
  <c r="M26" i="8"/>
  <c r="N26" i="8"/>
  <c r="D27" i="8"/>
  <c r="E27" i="8"/>
  <c r="F27" i="8"/>
  <c r="G27" i="8"/>
  <c r="H27" i="8"/>
  <c r="I27" i="8"/>
  <c r="L27" i="8"/>
  <c r="M27" i="8"/>
  <c r="N27" i="8"/>
  <c r="D28" i="8"/>
  <c r="E28" i="8"/>
  <c r="F28" i="8"/>
  <c r="G28" i="8"/>
  <c r="H28" i="8"/>
  <c r="I28" i="8"/>
  <c r="D29" i="8"/>
  <c r="E29" i="8"/>
  <c r="F29" i="8"/>
  <c r="G29" i="8"/>
  <c r="H29" i="8"/>
  <c r="I29" i="8"/>
  <c r="D30" i="8"/>
  <c r="E30" i="8"/>
  <c r="F30" i="8"/>
  <c r="G30" i="8"/>
  <c r="H30" i="8"/>
  <c r="I30" i="8"/>
  <c r="K31" i="8"/>
  <c r="L34" i="8"/>
  <c r="O5" i="6"/>
  <c r="O6" i="6"/>
  <c r="O7" i="6"/>
  <c r="O8" i="6"/>
  <c r="O9" i="6"/>
  <c r="O10" i="6"/>
  <c r="O11" i="6"/>
  <c r="O12" i="6"/>
  <c r="O13" i="6"/>
  <c r="O14" i="6"/>
  <c r="O15" i="6"/>
  <c r="K18" i="6"/>
  <c r="L18" i="6"/>
  <c r="D20" i="6"/>
  <c r="E20" i="6"/>
  <c r="F20" i="6"/>
  <c r="G20" i="6"/>
  <c r="H20" i="6"/>
  <c r="I20" i="6"/>
  <c r="D21" i="6"/>
  <c r="E21" i="6"/>
  <c r="F21" i="6"/>
  <c r="G21" i="6"/>
  <c r="H21" i="6"/>
  <c r="I21" i="6"/>
  <c r="D22" i="6"/>
  <c r="E22" i="6"/>
  <c r="F22" i="6"/>
  <c r="G22" i="6"/>
  <c r="H22" i="6"/>
  <c r="I22" i="6"/>
  <c r="L22" i="6"/>
  <c r="M22" i="6"/>
  <c r="N22" i="6"/>
  <c r="D23" i="6"/>
  <c r="E23" i="6"/>
  <c r="F23" i="6"/>
  <c r="G23" i="6"/>
  <c r="H23" i="6"/>
  <c r="I23" i="6"/>
  <c r="L23" i="6"/>
  <c r="M23" i="6"/>
  <c r="N23" i="6"/>
  <c r="D24" i="6"/>
  <c r="E24" i="6"/>
  <c r="F24" i="6"/>
  <c r="G24" i="6"/>
  <c r="H24" i="6"/>
  <c r="I24" i="6"/>
  <c r="L24" i="6"/>
  <c r="M24" i="6"/>
  <c r="N24" i="6"/>
  <c r="D25" i="6"/>
  <c r="E25" i="6"/>
  <c r="F25" i="6"/>
  <c r="G25" i="6"/>
  <c r="H25" i="6"/>
  <c r="I25" i="6"/>
  <c r="L25" i="6"/>
  <c r="M25" i="6"/>
  <c r="N25" i="6"/>
  <c r="D26" i="6"/>
  <c r="E26" i="6"/>
  <c r="F26" i="6"/>
  <c r="G26" i="6"/>
  <c r="H26" i="6"/>
  <c r="I26" i="6"/>
  <c r="L26" i="6"/>
  <c r="M26" i="6"/>
  <c r="N26" i="6"/>
  <c r="D27" i="6"/>
  <c r="E27" i="6"/>
  <c r="F27" i="6"/>
  <c r="G27" i="6"/>
  <c r="H27" i="6"/>
  <c r="I27" i="6"/>
  <c r="L27" i="6"/>
  <c r="M27" i="6"/>
  <c r="N27" i="6"/>
  <c r="D28" i="6"/>
  <c r="E28" i="6"/>
  <c r="F28" i="6"/>
  <c r="G28" i="6"/>
  <c r="H28" i="6"/>
  <c r="I28" i="6"/>
  <c r="D29" i="6"/>
  <c r="E29" i="6"/>
  <c r="F29" i="6"/>
  <c r="G29" i="6"/>
  <c r="H29" i="6"/>
  <c r="I29" i="6"/>
  <c r="D30" i="6"/>
  <c r="E30" i="6"/>
  <c r="F30" i="6"/>
  <c r="G30" i="6"/>
  <c r="H30" i="6"/>
  <c r="I30" i="6"/>
  <c r="O5" i="10"/>
  <c r="O6" i="10"/>
  <c r="O7" i="10"/>
  <c r="O8" i="10"/>
  <c r="O9" i="10"/>
  <c r="O10" i="10"/>
  <c r="O11" i="10"/>
  <c r="O12" i="10"/>
  <c r="O13" i="10"/>
  <c r="O14" i="10"/>
  <c r="O15" i="10"/>
  <c r="D20" i="10"/>
  <c r="E20" i="10"/>
  <c r="F20" i="10"/>
  <c r="G20" i="10"/>
  <c r="H20" i="10"/>
  <c r="I20" i="10"/>
  <c r="D21" i="10"/>
  <c r="E21" i="10"/>
  <c r="F21" i="10"/>
  <c r="G21" i="10"/>
  <c r="H21" i="10"/>
  <c r="I21" i="10"/>
  <c r="D22" i="10"/>
  <c r="E22" i="10"/>
  <c r="F22" i="10"/>
  <c r="G22" i="10"/>
  <c r="H22" i="10"/>
  <c r="I22" i="10"/>
  <c r="L22" i="10"/>
  <c r="M22" i="10"/>
  <c r="N22" i="10"/>
  <c r="D23" i="10"/>
  <c r="E23" i="10"/>
  <c r="F23" i="10"/>
  <c r="G23" i="10"/>
  <c r="H23" i="10"/>
  <c r="I23" i="10"/>
  <c r="L23" i="10"/>
  <c r="M23" i="10"/>
  <c r="N23" i="10"/>
  <c r="D24" i="10"/>
  <c r="E24" i="10"/>
  <c r="F24" i="10"/>
  <c r="G24" i="10"/>
  <c r="H24" i="10"/>
  <c r="I24" i="10"/>
  <c r="L24" i="10"/>
  <c r="M24" i="10"/>
  <c r="N24" i="10"/>
  <c r="D25" i="10"/>
  <c r="E25" i="10"/>
  <c r="F25" i="10"/>
  <c r="G25" i="10"/>
  <c r="H25" i="10"/>
  <c r="I25" i="10"/>
  <c r="L25" i="10"/>
  <c r="M25" i="10"/>
  <c r="N25" i="10"/>
  <c r="D26" i="10"/>
  <c r="E26" i="10"/>
  <c r="F26" i="10"/>
  <c r="G26" i="10"/>
  <c r="H26" i="10"/>
  <c r="I26" i="10"/>
  <c r="L26" i="10"/>
  <c r="M26" i="10"/>
  <c r="N26" i="10"/>
  <c r="D27" i="10"/>
  <c r="E27" i="10"/>
  <c r="F27" i="10"/>
  <c r="G27" i="10"/>
  <c r="H27" i="10"/>
  <c r="I27" i="10"/>
  <c r="L27" i="10"/>
  <c r="M27" i="10"/>
  <c r="N27" i="10"/>
  <c r="D28" i="10"/>
  <c r="E28" i="10"/>
  <c r="F28" i="10"/>
  <c r="G28" i="10"/>
  <c r="H28" i="10"/>
  <c r="I28" i="10"/>
  <c r="D29" i="10"/>
  <c r="E29" i="10"/>
  <c r="F29" i="10"/>
  <c r="G29" i="10"/>
  <c r="H29" i="10"/>
  <c r="I29" i="10"/>
  <c r="D30" i="10"/>
  <c r="E30" i="10"/>
  <c r="F30" i="10"/>
  <c r="G30" i="10"/>
  <c r="H30" i="10"/>
  <c r="I30" i="10"/>
  <c r="O5" i="4"/>
  <c r="O6" i="4"/>
  <c r="O7" i="4"/>
  <c r="O8" i="4"/>
  <c r="O9" i="4"/>
  <c r="O10" i="4"/>
  <c r="O11" i="4"/>
  <c r="O12" i="4"/>
  <c r="O13" i="4"/>
  <c r="O14" i="4"/>
  <c r="O15" i="4"/>
  <c r="D20" i="4"/>
  <c r="E20" i="4"/>
  <c r="F20" i="4"/>
  <c r="G20" i="4"/>
  <c r="H20" i="4"/>
  <c r="I20" i="4"/>
  <c r="D21" i="4"/>
  <c r="E21" i="4"/>
  <c r="F21" i="4"/>
  <c r="G21" i="4"/>
  <c r="H21" i="4"/>
  <c r="I21" i="4"/>
  <c r="D22" i="4"/>
  <c r="E22" i="4"/>
  <c r="F22" i="4"/>
  <c r="G22" i="4"/>
  <c r="H22" i="4"/>
  <c r="I22" i="4"/>
  <c r="L22" i="4"/>
  <c r="M22" i="4"/>
  <c r="N22" i="4"/>
  <c r="D23" i="4"/>
  <c r="E23" i="4"/>
  <c r="F23" i="4"/>
  <c r="G23" i="4"/>
  <c r="H23" i="4"/>
  <c r="I23" i="4"/>
  <c r="L23" i="4"/>
  <c r="M23" i="4"/>
  <c r="N23" i="4"/>
  <c r="D24" i="4"/>
  <c r="E24" i="4"/>
  <c r="F24" i="4"/>
  <c r="G24" i="4"/>
  <c r="H24" i="4"/>
  <c r="I24" i="4"/>
  <c r="L24" i="4"/>
  <c r="M24" i="4"/>
  <c r="N24" i="4"/>
  <c r="D25" i="4"/>
  <c r="E25" i="4"/>
  <c r="F25" i="4"/>
  <c r="G25" i="4"/>
  <c r="H25" i="4"/>
  <c r="I25" i="4"/>
  <c r="L25" i="4"/>
  <c r="M25" i="4"/>
  <c r="N25" i="4"/>
  <c r="D26" i="4"/>
  <c r="E26" i="4"/>
  <c r="F26" i="4"/>
  <c r="G26" i="4"/>
  <c r="H26" i="4"/>
  <c r="I26" i="4"/>
  <c r="L26" i="4"/>
  <c r="M26" i="4"/>
  <c r="N26" i="4"/>
  <c r="D27" i="4"/>
  <c r="E27" i="4"/>
  <c r="F27" i="4"/>
  <c r="G27" i="4"/>
  <c r="H27" i="4"/>
  <c r="I27" i="4"/>
  <c r="L27" i="4"/>
  <c r="M27" i="4"/>
  <c r="N27" i="4"/>
  <c r="D28" i="4"/>
  <c r="E28" i="4"/>
  <c r="F28" i="4"/>
  <c r="G28" i="4"/>
  <c r="H28" i="4"/>
  <c r="I28" i="4"/>
  <c r="D29" i="4"/>
  <c r="E29" i="4"/>
  <c r="F29" i="4"/>
  <c r="G29" i="4"/>
  <c r="H29" i="4"/>
  <c r="I29" i="4"/>
  <c r="D30" i="4"/>
  <c r="E30" i="4"/>
  <c r="F30" i="4"/>
  <c r="G30" i="4"/>
  <c r="H30" i="4"/>
  <c r="I30" i="4"/>
  <c r="O5" i="1"/>
  <c r="O6" i="1"/>
  <c r="O7" i="1"/>
  <c r="O8" i="1"/>
  <c r="O9" i="1"/>
  <c r="O10" i="1"/>
  <c r="O11" i="1"/>
  <c r="O12" i="1"/>
  <c r="O13" i="1"/>
  <c r="O14" i="1"/>
  <c r="O15" i="1"/>
  <c r="D19" i="1"/>
  <c r="E19" i="1"/>
  <c r="F19" i="1"/>
  <c r="G19" i="1"/>
  <c r="H19" i="1"/>
  <c r="I19" i="1"/>
  <c r="D20" i="1"/>
  <c r="E20" i="1"/>
  <c r="F20" i="1"/>
  <c r="G20" i="1"/>
  <c r="H20" i="1"/>
  <c r="I20" i="1"/>
  <c r="D21" i="1"/>
  <c r="E21" i="1"/>
  <c r="F21" i="1"/>
  <c r="G21" i="1"/>
  <c r="H21" i="1"/>
  <c r="I21" i="1"/>
  <c r="D22" i="1"/>
  <c r="E22" i="1"/>
  <c r="F22" i="1"/>
  <c r="G22" i="1"/>
  <c r="H22" i="1"/>
  <c r="I22" i="1"/>
  <c r="D23" i="1"/>
  <c r="E23" i="1"/>
  <c r="F23" i="1"/>
  <c r="G23" i="1"/>
  <c r="H23" i="1"/>
  <c r="I23" i="1"/>
  <c r="D24" i="1"/>
  <c r="E24" i="1"/>
  <c r="F24" i="1"/>
  <c r="G24" i="1"/>
  <c r="H24" i="1"/>
  <c r="I24" i="1"/>
  <c r="D25" i="1"/>
  <c r="E25" i="1"/>
  <c r="F25" i="1"/>
  <c r="G25" i="1"/>
  <c r="H25" i="1"/>
  <c r="I25" i="1"/>
  <c r="D26" i="1"/>
  <c r="E26" i="1"/>
  <c r="F26" i="1"/>
  <c r="G26" i="1"/>
  <c r="H26" i="1"/>
  <c r="I26" i="1"/>
  <c r="D27" i="1"/>
  <c r="E27" i="1"/>
  <c r="F27" i="1"/>
  <c r="G27" i="1"/>
  <c r="H27" i="1"/>
  <c r="I27" i="1"/>
  <c r="D28" i="1"/>
  <c r="E28" i="1"/>
  <c r="F28" i="1"/>
  <c r="G28" i="1"/>
  <c r="H28" i="1"/>
  <c r="I28" i="1"/>
  <c r="D29" i="1"/>
  <c r="E29" i="1"/>
  <c r="F29" i="1"/>
  <c r="G29" i="1"/>
  <c r="H29" i="1"/>
  <c r="I29" i="1"/>
</calcChain>
</file>

<file path=xl/sharedStrings.xml><?xml version="1.0" encoding="utf-8"?>
<sst xmlns="http://schemas.openxmlformats.org/spreadsheetml/2006/main" count="446" uniqueCount="128">
  <si>
    <t>Soil Texture</t>
  </si>
  <si>
    <t>Field Capacity (in/ft)</t>
  </si>
  <si>
    <t>15 Bar (in/ft)</t>
  </si>
  <si>
    <t>Available Soil Moisture (in/ft)</t>
  </si>
  <si>
    <t>Sand</t>
  </si>
  <si>
    <t>Loamy Sand</t>
  </si>
  <si>
    <t>Sandy Loam</t>
  </si>
  <si>
    <t>Loam</t>
  </si>
  <si>
    <t>Silt Loam</t>
  </si>
  <si>
    <t>Sandy Clay Loam</t>
  </si>
  <si>
    <t>Sandy Clay</t>
  </si>
  <si>
    <t>Clay Loam</t>
  </si>
  <si>
    <t>Silty Clay Loam</t>
  </si>
  <si>
    <t>Silty Clay</t>
  </si>
  <si>
    <t>Clay</t>
  </si>
  <si>
    <t>Avg Drip Subbing Diameter from 1 to 4' Depth (ft)</t>
  </si>
  <si>
    <t>Feet</t>
  </si>
  <si>
    <t>Emitter No</t>
  </si>
  <si>
    <t>FOR 1 GPH EMITTERS @ 4'</t>
  </si>
  <si>
    <t>Flow by Emit (gph)</t>
  </si>
  <si>
    <t>Vel @ Emit, 0.500 ID (ft/sec)</t>
  </si>
  <si>
    <t>Vel @ Emit, 0.620 ID (ft/sec)</t>
  </si>
  <si>
    <t>Time to Reach (min)</t>
  </si>
  <si>
    <t>Vel @ Emit, 0.800 ID (ft/sec)</t>
  </si>
  <si>
    <t>0.500" ID Hose</t>
  </si>
  <si>
    <t>0.620" ID Hose</t>
  </si>
  <si>
    <t xml:space="preserve"> Note:  Peak water use @ 0.25"/day and 20 x 22' spacing = 69 gallons/day/tree.   0.2"/day = 55 gallons/day/tree.</t>
  </si>
  <si>
    <t>Moisture Reserve @ 0.25"/day (days)</t>
  </si>
  <si>
    <t>1 gph Drip, 4 per tree (hrs)</t>
  </si>
  <si>
    <t>10 gph Fanjet, 1 per tree (hrs)</t>
  </si>
  <si>
    <t>14 gph Fanjet, 1 per tree (hrs)</t>
  </si>
  <si>
    <t>Available Soil Moisture        (in/ft)</t>
  </si>
  <si>
    <t>Wilting Point   (in/ft)</t>
  </si>
  <si>
    <t>*Moisture Reserve (gals)</t>
  </si>
  <si>
    <t>*This is the maximum gallons of water stored to a 4' depth beneath a single drip emitter.</t>
  </si>
  <si>
    <t xml:space="preserve">  Plant stress will usually be seen when about 50% of this reserve has been used.</t>
  </si>
  <si>
    <r>
      <t>1</t>
    </r>
    <r>
      <rPr>
        <sz val="9"/>
        <rFont val="Arial"/>
        <family val="2"/>
      </rPr>
      <t>Based on a tree spacing of 20 x 22'.  10 gph fanjet @ 12' diameter pattern.  14 gph fanjet @ 15' diameter pattern.</t>
    </r>
  </si>
  <si>
    <t>Moisture Reserve @ 0.30"/day (days)</t>
  </si>
  <si>
    <t xml:space="preserve"> Note:  Peak water use @ 0.30"/day and 20 x 22' spacing = 82 gallons/day/tree.   0.20"/day = 55 gallons/day/tree.</t>
  </si>
  <si>
    <r>
      <t xml:space="preserve">*This is the maximum gallons of water stored to a 4' depth beneath a single drip emitter.  In fine textured soils, the wetted volume of one emitter merges with another on the same hose and final gallons of moisture reserve per emitter will be less than the number shown in the table.  Plant stress will usually be seen when about 50% of this reserve has been used.
   </t>
    </r>
    <r>
      <rPr>
        <i/>
        <sz val="9"/>
        <rFont val="Arial"/>
        <family val="2"/>
      </rPr>
      <t>Ref:  Ratliff LF, Ritchie JT, Cassel DK. 1983. Field-measured limits of soil water availability as related to laboratory-measured properties.  Soil Sci Soc Am. 47:770-5.</t>
    </r>
  </si>
  <si>
    <t>Table takes into account merging water patterns below soil surface for drip irrigation.</t>
  </si>
  <si>
    <r>
      <t>1</t>
    </r>
    <r>
      <rPr>
        <sz val="9"/>
        <rFont val="Arial"/>
        <family val="2"/>
      </rPr>
      <t>Based on a tree spacing of 20 x 22'.  Drip hoses 6' apart.  10 gph fanjet wets 12' diameter. 14 gph fanjet @ 15' diameter.</t>
    </r>
  </si>
  <si>
    <t>Area</t>
  </si>
  <si>
    <t>Overlap</t>
  </si>
  <si>
    <t>Diameter</t>
  </si>
  <si>
    <t>Ovrlp Area</t>
  </si>
  <si>
    <r>
      <t>1</t>
    </r>
    <r>
      <rPr>
        <sz val="9"/>
        <rFont val="Arial"/>
        <family val="2"/>
      </rPr>
      <t>Based on a tree spacing of 20 x 20'.  Drip hoses 6' apart.  10 gph fanjet wets 12' diameter. 14 gph fanjet @ 15' diameter.</t>
    </r>
  </si>
  <si>
    <t>*This is the maximum gallons of water stored to a 4' depth beneath a single drip emitter.  In fine textured soils, the wetted volume of one emitter merges with another on the same hose and final gallons of moisture reserve per emitter will be less than the number shown in the table.  Plant stress will usually be seen when about 50% of this reserve has been used.
   Ref:  Ratliff LF, Ritchie JT, Cassel DK. 1983. Field-measured limits of soil water availability as related to laboratory-measured properties.  Soil Sci Soc Am. 47:770-5.</t>
  </si>
  <si>
    <t xml:space="preserve"> Note:  Peak water use @ 0.28"/day and 20 x 22' spacing = 74 gallons/day/tree.   0.20"/day = 55 gallons/day/tree.</t>
  </si>
  <si>
    <t>AWHC       (%)</t>
  </si>
  <si>
    <t>Mature Almonds</t>
  </si>
  <si>
    <t>Apr</t>
  </si>
  <si>
    <t>May</t>
  </si>
  <si>
    <t>Jun</t>
  </si>
  <si>
    <t>Jul</t>
  </si>
  <si>
    <t>Aug</t>
  </si>
  <si>
    <t>Sand (S)</t>
  </si>
  <si>
    <t>5.8%</t>
  </si>
  <si>
    <t>Avg Daily ET</t>
  </si>
  <si>
    <t>Loamy Sand (LS)</t>
  </si>
  <si>
    <t>9.2%</t>
  </si>
  <si>
    <t>Available Soil Moisture to 4 feet @ 50% depletion         (in)</t>
  </si>
  <si>
    <t>Sandy Loam (SL)</t>
  </si>
  <si>
    <t>11.7%</t>
  </si>
  <si>
    <t>Loam (L)</t>
  </si>
  <si>
    <t>15.0%</t>
  </si>
  <si>
    <t>Silt Loam (SiL)</t>
  </si>
  <si>
    <t>Sandy Clay Loam (SCL)</t>
  </si>
  <si>
    <t>10.8%</t>
  </si>
  <si>
    <t>Sandy Clay (SC)</t>
  </si>
  <si>
    <t>13.3%</t>
  </si>
  <si>
    <t>Clay Loam (CL)</t>
  </si>
  <si>
    <t>14.2%</t>
  </si>
  <si>
    <t>Silty Clay Loam (SiCL)</t>
  </si>
  <si>
    <t>15.8%</t>
  </si>
  <si>
    <t>Silty Clay (SiC)</t>
  </si>
  <si>
    <t>20.0%</t>
  </si>
  <si>
    <t>Clay (C)</t>
  </si>
  <si>
    <t>18.3%</t>
  </si>
  <si>
    <t>After Ratliff LF, Ritchie JT, Cassel DK. 1983. Field-measured limits of soil water availability as related to laboratory-measured properties.  Soil Sci Soc Am. 47:770-5.</t>
  </si>
  <si>
    <t>BLOCK FACTOR:</t>
  </si>
  <si>
    <t>ETo</t>
  </si>
  <si>
    <t>Week</t>
  </si>
  <si>
    <t>ET</t>
  </si>
  <si>
    <t>CORN ET</t>
  </si>
  <si>
    <t xml:space="preserve"> (for Modesto Area)</t>
  </si>
  <si>
    <t xml:space="preserve">        Average ET</t>
  </si>
  <si>
    <t>Ending</t>
  </si>
  <si>
    <t>Kc</t>
  </si>
  <si>
    <t>AVG DAILY</t>
  </si>
  <si>
    <t>Total</t>
  </si>
  <si>
    <t>Moisture Reserve @ 0.28"/day (days)</t>
  </si>
  <si>
    <t>MONTHLY ET for MATURE ALMONDS</t>
  </si>
  <si>
    <t>"NORMAL" GRASS ETo</t>
  </si>
  <si>
    <t>DRIP</t>
  </si>
  <si>
    <t>MICRO SPRINKLER</t>
  </si>
  <si>
    <t>FLOOD (with harvest stress)</t>
  </si>
  <si>
    <t>(SHAFTER)</t>
  </si>
  <si>
    <t>(no cover)</t>
  </si>
  <si>
    <t>(some cover)</t>
  </si>
  <si>
    <t>(full cover)</t>
  </si>
  <si>
    <t>JANUARY</t>
  </si>
  <si>
    <t>FEBRUARY</t>
  </si>
  <si>
    <t>MARCH</t>
  </si>
  <si>
    <t>APRIL</t>
  </si>
  <si>
    <t>MAY</t>
  </si>
  <si>
    <t>JUNE</t>
  </si>
  <si>
    <t>JULY</t>
  </si>
  <si>
    <t>AUGUST</t>
  </si>
  <si>
    <t>SEPTEMBER</t>
  </si>
  <si>
    <t>OCTOBER</t>
  </si>
  <si>
    <t>NOVEMBER</t>
  </si>
  <si>
    <t>DECEMBER</t>
  </si>
  <si>
    <t>TOTAL (in)</t>
  </si>
  <si>
    <t>Daily Avg</t>
  </si>
  <si>
    <t>S SJV</t>
  </si>
  <si>
    <t>Inches/day ET</t>
  </si>
  <si>
    <t>Gals/day equivalent</t>
  </si>
  <si>
    <t xml:space="preserve"> Note:  Peak water use @ 0.25"/day and 20 x 22' spacing = 68.6 gallons/day/tree.   0.20"/day = 55 gallons/day/tree.</t>
  </si>
  <si>
    <t xml:space="preserve"> Note:  Peak water use @ 0.20"/day and 20 x 20' spacing = 50 gallons/day/tree.</t>
  </si>
  <si>
    <t>Moisture Reserve @ 0.20"/day (days)</t>
  </si>
  <si>
    <r>
      <t>Dble-Line Drip 1-gph</t>
    </r>
    <r>
      <rPr>
        <sz val="10"/>
        <rFont val="Arial"/>
        <family val="2"/>
      </rPr>
      <t>, 10 per tree (irrig hrs)</t>
    </r>
  </si>
  <si>
    <r>
      <t>10 gph Fanjet</t>
    </r>
    <r>
      <rPr>
        <sz val="10"/>
        <rFont val="Arial"/>
        <family val="2"/>
      </rPr>
      <t>, 1 per tree (irrig hrs)</t>
    </r>
  </si>
  <si>
    <r>
      <t>14 gph Fanjet</t>
    </r>
    <r>
      <rPr>
        <sz val="10"/>
        <rFont val="Arial"/>
        <family val="2"/>
      </rPr>
      <t>, 1 per tree (irrig hrs)</t>
    </r>
  </si>
  <si>
    <t xml:space="preserve"> Note:  Peak water use @ 0.20"/day and 20 x 22' spacing = 55 gallons/day/tree.</t>
  </si>
  <si>
    <t xml:space="preserve"> Note:  Peak water use @ 0.30"/day and 19 x 17' spacing = 60 gallons/day/tree.  </t>
  </si>
  <si>
    <r>
      <t>Dble-Line Drip 1-gph</t>
    </r>
    <r>
      <rPr>
        <sz val="10"/>
        <rFont val="Arial"/>
        <family val="2"/>
      </rPr>
      <t>, 6 per tree      (irrig hrs)</t>
    </r>
  </si>
  <si>
    <r>
      <t>1</t>
    </r>
    <r>
      <rPr>
        <sz val="9"/>
        <rFont val="Arial"/>
        <family val="2"/>
      </rPr>
      <t>Based on a tree spacing of 19 x 17'.  Drip hoses 6' apart.  10 gph fanjet wets 12' diameter. 14 gph fanjet @ 15' diameter.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</si>
</sst>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0" formatCode="0.0"/>
    <numFmt numFmtId="171" formatCode="m/d"/>
  </numFmts>
  <fonts count="29" x14ac:knownFonts="1">
    <font>
      <sz val="10"/>
      <name val="Arial"/>
    </font>
    <font>
      <sz val="10"/>
      <name val="Arial"/>
    </font>
    <font>
      <sz val="9"/>
      <name val="Arial"/>
    </font>
    <font>
      <b/>
      <sz val="9"/>
      <name val="Times New Roman"/>
      <family val="1"/>
    </font>
    <font>
      <sz val="9"/>
      <name val="Arial"/>
      <family val="2"/>
    </font>
    <font>
      <vertAlign val="superscript"/>
      <sz val="9"/>
      <name val="Arial"/>
      <family val="2"/>
    </font>
    <font>
      <b/>
      <sz val="12"/>
      <name val="Arial"/>
      <family val="2"/>
    </font>
    <font>
      <sz val="8"/>
      <name val="Arial"/>
    </font>
    <font>
      <b/>
      <u/>
      <sz val="10"/>
      <name val="Arial"/>
    </font>
    <font>
      <b/>
      <sz val="10"/>
      <name val="Arial"/>
    </font>
    <font>
      <sz val="10"/>
      <name val="Arial"/>
      <family val="2"/>
    </font>
    <font>
      <b/>
      <sz val="10"/>
      <name val="Arial"/>
      <family val="2"/>
    </font>
    <font>
      <i/>
      <sz val="9"/>
      <name val="Arial"/>
      <family val="2"/>
    </font>
    <font>
      <b/>
      <sz val="10"/>
      <name val="Times New Roman"/>
      <family val="1"/>
    </font>
    <font>
      <b/>
      <sz val="16"/>
      <name val="Arial"/>
      <family val="2"/>
    </font>
    <font>
      <sz val="16"/>
      <name val="Arial"/>
      <family val="2"/>
    </font>
    <font>
      <b/>
      <sz val="12"/>
      <name val="Times New Roman"/>
      <family val="1"/>
    </font>
    <font>
      <sz val="11"/>
      <name val="Times New Roman"/>
      <family val="1"/>
    </font>
    <font>
      <sz val="12"/>
      <name val="Times New Roman"/>
      <family val="1"/>
    </font>
    <font>
      <sz val="8"/>
      <name val="Times New Roman"/>
      <family val="1"/>
    </font>
    <font>
      <sz val="11"/>
      <name val="Arial"/>
      <family val="2"/>
    </font>
    <font>
      <sz val="8"/>
      <name val="Arial"/>
      <family val="2"/>
    </font>
    <font>
      <sz val="10"/>
      <name val="Helv"/>
    </font>
    <font>
      <b/>
      <sz val="9"/>
      <name val="Arial"/>
      <family val="2"/>
    </font>
    <font>
      <b/>
      <sz val="11"/>
      <name val="Arial"/>
      <family val="2"/>
    </font>
    <font>
      <b/>
      <i/>
      <sz val="9"/>
      <name val="Arial"/>
      <family val="2"/>
    </font>
    <font>
      <i/>
      <sz val="10"/>
      <name val="Arial"/>
      <family val="2"/>
    </font>
    <font>
      <i/>
      <sz val="12"/>
      <name val="Arial"/>
      <family val="2"/>
    </font>
    <font>
      <b/>
      <sz val="14"/>
      <name val="Arial"/>
      <family val="2"/>
    </font>
  </fonts>
  <fills count="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00B050"/>
        <bgColor indexed="64"/>
      </patternFill>
    </fill>
  </fills>
  <borders count="33">
    <border>
      <left/>
      <right/>
      <top/>
      <bottom/>
      <diagonal/>
    </border>
    <border>
      <left/>
      <right/>
      <top style="medium">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right style="thin">
        <color indexed="64"/>
      </right>
      <top/>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74">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Alignment="1">
      <alignment horizontal="center"/>
    </xf>
    <xf numFmtId="2" fontId="0" fillId="0" borderId="0" xfId="0" applyNumberFormat="1" applyAlignment="1">
      <alignment horizontal="center"/>
    </xf>
    <xf numFmtId="0" fontId="1" fillId="0" borderId="0" xfId="0" applyFont="1"/>
    <xf numFmtId="0" fontId="2" fillId="0" borderId="0" xfId="0" applyFont="1"/>
    <xf numFmtId="0" fontId="2" fillId="0" borderId="0" xfId="0" applyFont="1" applyAlignment="1">
      <alignment horizontal="center" wrapText="1"/>
    </xf>
    <xf numFmtId="0" fontId="3" fillId="0" borderId="1" xfId="0" applyFont="1" applyFill="1" applyBorder="1" applyAlignment="1">
      <alignment horizontal="center" wrapText="1"/>
    </xf>
    <xf numFmtId="0" fontId="2" fillId="0" borderId="0" xfId="0" applyFont="1" applyAlignment="1">
      <alignment horizontal="center"/>
    </xf>
    <xf numFmtId="0" fontId="3" fillId="0" borderId="0" xfId="0" applyFont="1" applyFill="1" applyBorder="1" applyAlignment="1"/>
    <xf numFmtId="0" fontId="3" fillId="0" borderId="0" xfId="0" applyFont="1" applyFill="1" applyBorder="1" applyAlignment="1">
      <alignment horizontal="center"/>
    </xf>
    <xf numFmtId="1" fontId="3" fillId="0" borderId="0" xfId="0" applyNumberFormat="1" applyFont="1" applyFill="1" applyBorder="1" applyAlignment="1">
      <alignment horizontal="center"/>
    </xf>
    <xf numFmtId="0" fontId="3" fillId="0" borderId="2" xfId="0" applyFont="1" applyFill="1" applyBorder="1" applyAlignment="1"/>
    <xf numFmtId="0" fontId="3" fillId="0" borderId="2" xfId="0" applyFont="1" applyFill="1" applyBorder="1" applyAlignment="1">
      <alignment horizontal="center"/>
    </xf>
    <xf numFmtId="1" fontId="3" fillId="0" borderId="2" xfId="0" applyNumberFormat="1" applyFont="1" applyFill="1" applyBorder="1" applyAlignment="1">
      <alignment horizontal="center"/>
    </xf>
    <xf numFmtId="0" fontId="4" fillId="0" borderId="0" xfId="0" applyFont="1"/>
    <xf numFmtId="0" fontId="2" fillId="0" borderId="0" xfId="0" quotePrefix="1" applyFont="1"/>
    <xf numFmtId="0" fontId="4" fillId="0" borderId="0" xfId="0" applyFont="1" applyAlignment="1">
      <alignment horizontal="center" wrapText="1"/>
    </xf>
    <xf numFmtId="2" fontId="4" fillId="0" borderId="0" xfId="0" applyNumberFormat="1" applyFont="1"/>
    <xf numFmtId="0" fontId="5" fillId="0" borderId="0" xfId="0" applyFont="1"/>
    <xf numFmtId="0" fontId="4" fillId="0" borderId="0" xfId="0" applyFont="1" applyAlignment="1">
      <alignment horizontal="center"/>
    </xf>
    <xf numFmtId="0" fontId="8" fillId="0" borderId="0" xfId="0" applyFont="1" applyAlignment="1">
      <alignment horizontal="center" wrapText="1"/>
    </xf>
    <xf numFmtId="0" fontId="9" fillId="0" borderId="0" xfId="0" applyFont="1" applyAlignment="1">
      <alignment horizontal="center" wrapText="1"/>
    </xf>
    <xf numFmtId="0" fontId="9" fillId="0" borderId="3" xfId="0" applyFont="1" applyBorder="1" applyAlignment="1">
      <alignment horizontal="center" wrapText="1"/>
    </xf>
    <xf numFmtId="0" fontId="9" fillId="0" borderId="4" xfId="0" applyFont="1" applyBorder="1" applyAlignment="1">
      <alignment horizontal="center" wrapText="1"/>
    </xf>
    <xf numFmtId="0" fontId="9" fillId="0" borderId="1" xfId="0" applyFont="1" applyBorder="1" applyAlignment="1">
      <alignment horizontal="center" wrapText="1"/>
    </xf>
    <xf numFmtId="0" fontId="9" fillId="0" borderId="5" xfId="0" applyFont="1" applyBorder="1" applyAlignment="1">
      <alignment horizontal="center" wrapText="1"/>
    </xf>
    <xf numFmtId="0" fontId="9" fillId="0" borderId="0" xfId="0" applyFont="1"/>
    <xf numFmtId="0" fontId="9" fillId="0" borderId="6" xfId="0" applyFont="1" applyBorder="1" applyAlignment="1">
      <alignment horizontal="center"/>
    </xf>
    <xf numFmtId="0" fontId="9" fillId="0" borderId="7" xfId="0" applyFont="1" applyBorder="1" applyAlignment="1">
      <alignment horizontal="center"/>
    </xf>
    <xf numFmtId="170" fontId="9" fillId="0" borderId="8" xfId="0" applyNumberFormat="1" applyFont="1" applyBorder="1" applyAlignment="1">
      <alignment horizontal="center"/>
    </xf>
    <xf numFmtId="170" fontId="9" fillId="0" borderId="9" xfId="0" applyNumberFormat="1" applyFont="1" applyBorder="1" applyAlignment="1">
      <alignment horizontal="center"/>
    </xf>
    <xf numFmtId="170" fontId="9" fillId="0" borderId="0" xfId="0" applyNumberFormat="1" applyFont="1" applyBorder="1" applyAlignment="1">
      <alignment horizontal="center"/>
    </xf>
    <xf numFmtId="170" fontId="9" fillId="0" borderId="10" xfId="0" applyNumberFormat="1" applyFont="1" applyBorder="1" applyAlignment="1">
      <alignment horizontal="center"/>
    </xf>
    <xf numFmtId="0" fontId="9" fillId="0" borderId="11" xfId="0" applyFont="1" applyBorder="1" applyAlignment="1">
      <alignment horizontal="center"/>
    </xf>
    <xf numFmtId="0" fontId="9" fillId="0" borderId="0" xfId="0" applyFont="1" applyBorder="1" applyAlignment="1">
      <alignment horizontal="center"/>
    </xf>
    <xf numFmtId="0" fontId="9" fillId="0" borderId="12" xfId="0" applyFont="1" applyBorder="1" applyAlignment="1">
      <alignment horizontal="center"/>
    </xf>
    <xf numFmtId="0" fontId="9" fillId="0" borderId="13" xfId="0" applyFont="1" applyBorder="1" applyAlignment="1">
      <alignment horizontal="center"/>
    </xf>
    <xf numFmtId="170" fontId="9" fillId="0" borderId="14" xfId="0" applyNumberFormat="1" applyFont="1" applyBorder="1" applyAlignment="1">
      <alignment horizontal="center"/>
    </xf>
    <xf numFmtId="170" fontId="9" fillId="0" borderId="15" xfId="0" applyNumberFormat="1" applyFont="1" applyBorder="1" applyAlignment="1">
      <alignment horizontal="center"/>
    </xf>
    <xf numFmtId="170" fontId="9" fillId="0" borderId="2" xfId="0" applyNumberFormat="1" applyFont="1" applyBorder="1" applyAlignment="1">
      <alignment horizontal="center"/>
    </xf>
    <xf numFmtId="170" fontId="9" fillId="0" borderId="16" xfId="0" applyNumberFormat="1" applyFont="1" applyBorder="1" applyAlignment="1">
      <alignment horizontal="center"/>
    </xf>
    <xf numFmtId="0" fontId="10" fillId="0" borderId="0" xfId="0" applyFont="1"/>
    <xf numFmtId="0" fontId="11" fillId="0" borderId="1" xfId="0" applyFont="1" applyFill="1" applyBorder="1" applyAlignment="1">
      <alignment horizontal="center" wrapText="1"/>
    </xf>
    <xf numFmtId="0" fontId="11" fillId="0" borderId="0" xfId="0" applyFont="1" applyFill="1" applyBorder="1" applyAlignment="1"/>
    <xf numFmtId="0" fontId="11" fillId="0" borderId="0" xfId="0" applyFont="1" applyFill="1" applyBorder="1" applyAlignment="1">
      <alignment horizontal="center"/>
    </xf>
    <xf numFmtId="1" fontId="11" fillId="0" borderId="0" xfId="0" applyNumberFormat="1" applyFont="1" applyFill="1" applyBorder="1" applyAlignment="1">
      <alignment horizontal="center"/>
    </xf>
    <xf numFmtId="0" fontId="11" fillId="0" borderId="2" xfId="0" applyFont="1" applyFill="1" applyBorder="1" applyAlignment="1"/>
    <xf numFmtId="0" fontId="11" fillId="0" borderId="2" xfId="0" applyFont="1" applyFill="1" applyBorder="1" applyAlignment="1">
      <alignment horizontal="center"/>
    </xf>
    <xf numFmtId="1" fontId="11" fillId="0" borderId="2" xfId="0" applyNumberFormat="1" applyFont="1" applyFill="1" applyBorder="1" applyAlignment="1">
      <alignment horizontal="center"/>
    </xf>
    <xf numFmtId="0" fontId="10" fillId="0" borderId="0" xfId="0" quotePrefix="1" applyFont="1"/>
    <xf numFmtId="2" fontId="10" fillId="0" borderId="0" xfId="0" applyNumberFormat="1" applyFont="1"/>
    <xf numFmtId="0" fontId="10" fillId="0" borderId="4" xfId="0" applyFont="1" applyBorder="1" applyAlignment="1">
      <alignment horizontal="center" wrapText="1"/>
    </xf>
    <xf numFmtId="0" fontId="10" fillId="0" borderId="5" xfId="0" applyFont="1" applyBorder="1" applyAlignment="1">
      <alignment horizontal="center" wrapText="1"/>
    </xf>
    <xf numFmtId="0" fontId="11" fillId="0" borderId="3" xfId="0" applyFont="1" applyBorder="1" applyAlignment="1">
      <alignment horizontal="center" wrapText="1"/>
    </xf>
    <xf numFmtId="0" fontId="11" fillId="0" borderId="1" xfId="0" applyFont="1" applyBorder="1" applyAlignment="1">
      <alignment horizontal="center" wrapText="1"/>
    </xf>
    <xf numFmtId="0" fontId="10" fillId="0" borderId="0" xfId="0" applyFont="1" applyAlignment="1">
      <alignment horizontal="center"/>
    </xf>
    <xf numFmtId="170" fontId="10" fillId="0" borderId="0" xfId="0" applyNumberFormat="1" applyFont="1" applyAlignment="1">
      <alignment horizontal="center"/>
    </xf>
    <xf numFmtId="0" fontId="10" fillId="0" borderId="0" xfId="0" applyFont="1" applyFill="1" applyBorder="1" applyAlignment="1">
      <alignment horizontal="center"/>
    </xf>
    <xf numFmtId="170" fontId="11" fillId="0" borderId="0" xfId="0" applyNumberFormat="1" applyFont="1" applyAlignment="1">
      <alignment horizontal="center"/>
    </xf>
    <xf numFmtId="0" fontId="11" fillId="0" borderId="0" xfId="0" applyFont="1" applyAlignment="1">
      <alignment horizontal="center"/>
    </xf>
    <xf numFmtId="170" fontId="9" fillId="0" borderId="17" xfId="0" applyNumberFormat="1" applyFont="1" applyBorder="1" applyAlignment="1">
      <alignment horizontal="center"/>
    </xf>
    <xf numFmtId="170" fontId="9" fillId="0" borderId="18" xfId="0" applyNumberFormat="1" applyFont="1" applyBorder="1" applyAlignment="1">
      <alignment horizontal="center"/>
    </xf>
    <xf numFmtId="170" fontId="11" fillId="0" borderId="13" xfId="0" applyNumberFormat="1" applyFont="1" applyBorder="1" applyAlignment="1">
      <alignment horizontal="center"/>
    </xf>
    <xf numFmtId="170" fontId="9" fillId="0" borderId="19" xfId="0" applyNumberFormat="1" applyFont="1" applyBorder="1" applyAlignment="1">
      <alignment horizontal="center"/>
    </xf>
    <xf numFmtId="0" fontId="2" fillId="0" borderId="20" xfId="0" applyFont="1" applyBorder="1"/>
    <xf numFmtId="0" fontId="4" fillId="0" borderId="20" xfId="0" applyFont="1" applyBorder="1"/>
    <xf numFmtId="0" fontId="4" fillId="2" borderId="20" xfId="0" applyFont="1" applyFill="1" applyBorder="1"/>
    <xf numFmtId="0" fontId="2" fillId="2" borderId="20" xfId="0" applyFont="1" applyFill="1" applyBorder="1"/>
    <xf numFmtId="0" fontId="11" fillId="0" borderId="21" xfId="0" applyFont="1" applyBorder="1" applyAlignment="1">
      <alignment horizontal="center" wrapText="1"/>
    </xf>
    <xf numFmtId="0" fontId="10" fillId="0" borderId="22" xfId="0" applyFont="1" applyBorder="1" applyAlignment="1">
      <alignment horizontal="center" wrapText="1"/>
    </xf>
    <xf numFmtId="170" fontId="11" fillId="0" borderId="17" xfId="0" applyNumberFormat="1" applyFont="1" applyBorder="1" applyAlignment="1">
      <alignment horizontal="center"/>
    </xf>
    <xf numFmtId="170" fontId="11" fillId="0" borderId="9" xfId="0" applyNumberFormat="1" applyFont="1" applyBorder="1" applyAlignment="1">
      <alignment horizontal="center"/>
    </xf>
    <xf numFmtId="170" fontId="11" fillId="0" borderId="18" xfId="0" applyNumberFormat="1" applyFont="1" applyBorder="1" applyAlignment="1">
      <alignment horizontal="center"/>
    </xf>
    <xf numFmtId="2" fontId="6" fillId="0" borderId="0" xfId="0" applyNumberFormat="1" applyFont="1"/>
    <xf numFmtId="0" fontId="0" fillId="0" borderId="2" xfId="0" applyBorder="1"/>
    <xf numFmtId="0" fontId="13" fillId="0" borderId="1" xfId="0" applyFont="1" applyFill="1" applyBorder="1" applyAlignment="1">
      <alignment horizontal="center" wrapText="1"/>
    </xf>
    <xf numFmtId="0" fontId="13" fillId="0" borderId="5" xfId="0" applyFont="1" applyBorder="1" applyAlignment="1">
      <alignment horizontal="center" wrapText="1"/>
    </xf>
    <xf numFmtId="0" fontId="16" fillId="0" borderId="23" xfId="0" applyFont="1" applyBorder="1" applyAlignment="1">
      <alignment horizontal="center" wrapText="1"/>
    </xf>
    <xf numFmtId="0" fontId="16" fillId="0" borderId="24" xfId="0" applyFont="1" applyBorder="1" applyAlignment="1">
      <alignment horizontal="center" wrapText="1"/>
    </xf>
    <xf numFmtId="2" fontId="4" fillId="0" borderId="0" xfId="0" applyNumberFormat="1" applyFont="1" applyAlignment="1">
      <alignment wrapText="1"/>
    </xf>
    <xf numFmtId="0" fontId="17" fillId="0" borderId="8" xfId="0" applyFont="1" applyBorder="1" applyAlignment="1">
      <alignment horizontal="left"/>
    </xf>
    <xf numFmtId="0" fontId="17" fillId="0" borderId="0" xfId="0" applyFont="1" applyBorder="1" applyAlignment="1">
      <alignment horizontal="center"/>
    </xf>
    <xf numFmtId="0" fontId="17" fillId="0" borderId="10" xfId="0" applyFont="1" applyBorder="1" applyAlignment="1">
      <alignment horizontal="center"/>
    </xf>
    <xf numFmtId="0" fontId="16" fillId="0" borderId="25" xfId="0" applyFont="1" applyFill="1" applyBorder="1" applyAlignment="1">
      <alignment horizontal="center" wrapText="1"/>
    </xf>
    <xf numFmtId="0" fontId="16" fillId="0" borderId="21" xfId="0" applyFont="1" applyFill="1" applyBorder="1" applyAlignment="1">
      <alignment horizontal="center" wrapText="1"/>
    </xf>
    <xf numFmtId="2" fontId="16" fillId="0" borderId="26" xfId="0" applyNumberFormat="1" applyFont="1" applyBorder="1" applyAlignment="1">
      <alignment horizontal="center" wrapText="1"/>
    </xf>
    <xf numFmtId="2" fontId="16" fillId="0" borderId="27" xfId="0" applyNumberFormat="1" applyFont="1" applyBorder="1" applyAlignment="1">
      <alignment horizontal="center" wrapText="1"/>
    </xf>
    <xf numFmtId="0" fontId="16" fillId="0" borderId="0" xfId="0" applyFont="1" applyBorder="1" applyAlignment="1">
      <alignment horizontal="center" wrapText="1"/>
    </xf>
    <xf numFmtId="2" fontId="16" fillId="0" borderId="10" xfId="0" applyNumberFormat="1" applyFont="1" applyBorder="1" applyAlignment="1">
      <alignment horizontal="center" wrapText="1"/>
    </xf>
    <xf numFmtId="0" fontId="16" fillId="0" borderId="8" xfId="0" applyFont="1" applyFill="1" applyBorder="1" applyAlignment="1"/>
    <xf numFmtId="170" fontId="16" fillId="0" borderId="28" xfId="0" applyNumberFormat="1" applyFont="1" applyFill="1" applyBorder="1" applyAlignment="1">
      <alignment horizontal="center"/>
    </xf>
    <xf numFmtId="1" fontId="18" fillId="0" borderId="0" xfId="0" applyNumberFormat="1" applyFont="1" applyBorder="1" applyAlignment="1">
      <alignment horizontal="center"/>
    </xf>
    <xf numFmtId="1" fontId="18" fillId="0" borderId="10" xfId="0" applyNumberFormat="1" applyFont="1" applyBorder="1" applyAlignment="1">
      <alignment horizontal="center"/>
    </xf>
    <xf numFmtId="2" fontId="19" fillId="0" borderId="0" xfId="0" applyNumberFormat="1" applyFont="1" applyBorder="1" applyAlignment="1">
      <alignment horizontal="center"/>
    </xf>
    <xf numFmtId="2" fontId="20" fillId="0" borderId="0" xfId="0" applyNumberFormat="1" applyFont="1" applyAlignment="1">
      <alignment horizontal="center"/>
    </xf>
    <xf numFmtId="2" fontId="20" fillId="0" borderId="0" xfId="0" applyNumberFormat="1" applyFont="1"/>
    <xf numFmtId="0" fontId="16" fillId="3" borderId="8" xfId="0" applyFont="1" applyFill="1" applyBorder="1" applyAlignment="1"/>
    <xf numFmtId="170" fontId="16" fillId="3" borderId="28" xfId="0" applyNumberFormat="1" applyFont="1" applyFill="1" applyBorder="1" applyAlignment="1">
      <alignment horizontal="center"/>
    </xf>
    <xf numFmtId="1" fontId="18" fillId="3" borderId="0" xfId="0" applyNumberFormat="1" applyFont="1" applyFill="1" applyBorder="1" applyAlignment="1">
      <alignment horizontal="center"/>
    </xf>
    <xf numFmtId="1" fontId="18" fillId="3" borderId="10" xfId="0" applyNumberFormat="1" applyFont="1" applyFill="1" applyBorder="1" applyAlignment="1">
      <alignment horizontal="center"/>
    </xf>
    <xf numFmtId="0" fontId="16" fillId="2" borderId="8" xfId="0" applyFont="1" applyFill="1" applyBorder="1" applyAlignment="1"/>
    <xf numFmtId="170" fontId="16" fillId="2" borderId="28" xfId="0" applyNumberFormat="1" applyFont="1" applyFill="1" applyBorder="1" applyAlignment="1">
      <alignment horizontal="center"/>
    </xf>
    <xf numFmtId="1" fontId="18" fillId="2" borderId="0" xfId="0" applyNumberFormat="1" applyFont="1" applyFill="1" applyBorder="1" applyAlignment="1">
      <alignment horizontal="center"/>
    </xf>
    <xf numFmtId="1" fontId="18" fillId="2" borderId="10" xfId="0" applyNumberFormat="1" applyFont="1" applyFill="1" applyBorder="1" applyAlignment="1">
      <alignment horizontal="center"/>
    </xf>
    <xf numFmtId="0" fontId="17" fillId="0" borderId="14" xfId="0" applyFont="1" applyBorder="1" applyAlignment="1">
      <alignment horizontal="left"/>
    </xf>
    <xf numFmtId="0" fontId="17" fillId="0" borderId="2" xfId="0" applyFont="1" applyBorder="1" applyAlignment="1">
      <alignment horizontal="center"/>
    </xf>
    <xf numFmtId="0" fontId="17" fillId="0" borderId="16" xfId="0" applyFont="1" applyBorder="1" applyAlignment="1">
      <alignment horizontal="center"/>
    </xf>
    <xf numFmtId="0" fontId="16" fillId="0" borderId="14" xfId="0" applyFont="1" applyFill="1" applyBorder="1" applyAlignment="1"/>
    <xf numFmtId="170" fontId="16" fillId="0" borderId="29" xfId="0" applyNumberFormat="1" applyFont="1" applyFill="1" applyBorder="1" applyAlignment="1">
      <alignment horizontal="center"/>
    </xf>
    <xf numFmtId="1" fontId="18" fillId="0" borderId="2" xfId="0" applyNumberFormat="1" applyFont="1" applyBorder="1" applyAlignment="1">
      <alignment horizontal="center"/>
    </xf>
    <xf numFmtId="1" fontId="18" fillId="0" borderId="16" xfId="0" applyNumberFormat="1" applyFont="1" applyBorder="1" applyAlignment="1">
      <alignment horizontal="center"/>
    </xf>
    <xf numFmtId="0" fontId="0" fillId="0" borderId="0" xfId="0" applyAlignment="1">
      <alignment horizontal="right"/>
    </xf>
    <xf numFmtId="9" fontId="1" fillId="0" borderId="0" xfId="1"/>
    <xf numFmtId="0" fontId="4" fillId="0" borderId="12" xfId="0" applyFont="1" applyBorder="1"/>
    <xf numFmtId="0" fontId="4" fillId="0" borderId="13" xfId="0" applyFont="1" applyBorder="1" applyAlignment="1">
      <alignment horizontal="center"/>
    </xf>
    <xf numFmtId="2" fontId="0" fillId="0" borderId="0" xfId="0" applyNumberFormat="1" applyFont="1"/>
    <xf numFmtId="171" fontId="4" fillId="0" borderId="0" xfId="0" applyNumberFormat="1" applyFont="1"/>
    <xf numFmtId="2" fontId="2" fillId="0" borderId="0" xfId="0" applyNumberFormat="1" applyFont="1"/>
    <xf numFmtId="2" fontId="22" fillId="0" borderId="0" xfId="0" applyNumberFormat="1" applyFont="1"/>
    <xf numFmtId="0" fontId="23" fillId="0" borderId="21" xfId="0" applyFont="1" applyBorder="1"/>
    <xf numFmtId="0" fontId="23" fillId="0" borderId="23" xfId="0" applyFont="1" applyBorder="1" applyAlignment="1">
      <alignment horizontal="center"/>
    </xf>
    <xf numFmtId="0" fontId="23" fillId="0" borderId="30" xfId="0" applyFont="1" applyBorder="1"/>
    <xf numFmtId="0" fontId="23" fillId="0" borderId="13" xfId="0" applyFont="1" applyBorder="1" applyAlignment="1">
      <alignment horizontal="center"/>
    </xf>
    <xf numFmtId="0" fontId="23" fillId="0" borderId="8" xfId="0" applyFont="1" applyBorder="1" applyAlignment="1">
      <alignment horizontal="center"/>
    </xf>
    <xf numFmtId="0" fontId="23" fillId="0" borderId="6" xfId="0" applyFont="1" applyBorder="1"/>
    <xf numFmtId="0" fontId="23" fillId="0" borderId="30" xfId="0" applyFont="1" applyBorder="1" applyAlignment="1">
      <alignment horizontal="center"/>
    </xf>
    <xf numFmtId="0" fontId="23" fillId="0" borderId="12" xfId="0" applyFont="1" applyBorder="1" applyAlignment="1">
      <alignment horizontal="center"/>
    </xf>
    <xf numFmtId="171" fontId="4" fillId="0" borderId="8" xfId="0" applyNumberFormat="1" applyFont="1" applyBorder="1"/>
    <xf numFmtId="2" fontId="4" fillId="0" borderId="11" xfId="0" applyNumberFormat="1" applyFont="1" applyBorder="1"/>
    <xf numFmtId="2" fontId="0" fillId="0" borderId="0" xfId="0" applyNumberFormat="1"/>
    <xf numFmtId="170" fontId="4" fillId="0" borderId="10" xfId="0" applyNumberFormat="1" applyFont="1" applyBorder="1"/>
    <xf numFmtId="171" fontId="23" fillId="0" borderId="0" xfId="0" applyNumberFormat="1" applyFont="1" applyAlignment="1">
      <alignment horizontal="right"/>
    </xf>
    <xf numFmtId="2" fontId="23" fillId="0" borderId="0" xfId="0" applyNumberFormat="1" applyFont="1"/>
    <xf numFmtId="2" fontId="4" fillId="0" borderId="0" xfId="0" quotePrefix="1" applyNumberFormat="1" applyFont="1" applyAlignment="1">
      <alignment horizontal="center"/>
    </xf>
    <xf numFmtId="0" fontId="23" fillId="0" borderId="0" xfId="0" applyFont="1"/>
    <xf numFmtId="170" fontId="4" fillId="0" borderId="20" xfId="0" applyNumberFormat="1" applyFont="1" applyBorder="1"/>
    <xf numFmtId="0" fontId="11" fillId="0" borderId="0" xfId="0" applyFont="1"/>
    <xf numFmtId="0" fontId="25" fillId="0" borderId="0" xfId="0" applyFont="1" applyAlignment="1">
      <alignment horizontal="center" wrapText="1"/>
    </xf>
    <xf numFmtId="0" fontId="23" fillId="0" borderId="21" xfId="0" applyFont="1" applyBorder="1" applyAlignment="1">
      <alignment horizontal="center" wrapText="1"/>
    </xf>
    <xf numFmtId="0" fontId="23" fillId="0" borderId="23" xfId="0" applyFont="1" applyBorder="1" applyAlignment="1">
      <alignment horizontal="center" wrapText="1"/>
    </xf>
    <xf numFmtId="0" fontId="23" fillId="0" borderId="24" xfId="0" applyFont="1" applyBorder="1" applyAlignment="1">
      <alignment horizontal="center" wrapText="1"/>
    </xf>
    <xf numFmtId="0" fontId="25" fillId="0" borderId="0" xfId="0" applyFont="1"/>
    <xf numFmtId="0" fontId="23" fillId="0" borderId="8" xfId="0" applyFont="1" applyBorder="1" applyAlignment="1">
      <alignment horizontal="center" wrapText="1"/>
    </xf>
    <xf numFmtId="0" fontId="23" fillId="0" borderId="0" xfId="0" applyFont="1" applyBorder="1" applyAlignment="1">
      <alignment horizontal="center" wrapText="1"/>
    </xf>
    <xf numFmtId="0" fontId="23" fillId="0" borderId="10" xfId="0" applyFont="1" applyBorder="1" applyAlignment="1">
      <alignment horizontal="center" wrapText="1"/>
    </xf>
    <xf numFmtId="2" fontId="26" fillId="0" borderId="0" xfId="0" applyNumberFormat="1" applyFont="1"/>
    <xf numFmtId="2" fontId="11" fillId="0" borderId="0" xfId="0" applyNumberFormat="1" applyFont="1"/>
    <xf numFmtId="0" fontId="6" fillId="0" borderId="0" xfId="0" applyFont="1" applyAlignment="1">
      <alignment horizontal="right"/>
    </xf>
    <xf numFmtId="2" fontId="27" fillId="0" borderId="31" xfId="0" applyNumberFormat="1" applyFont="1" applyBorder="1"/>
    <xf numFmtId="2" fontId="6" fillId="0" borderId="32" xfId="0" applyNumberFormat="1" applyFont="1" applyBorder="1"/>
    <xf numFmtId="2" fontId="6" fillId="0" borderId="26" xfId="0" applyNumberFormat="1" applyFont="1" applyBorder="1"/>
    <xf numFmtId="2" fontId="6" fillId="0" borderId="27" xfId="0" applyNumberFormat="1" applyFont="1" applyBorder="1"/>
    <xf numFmtId="0" fontId="28" fillId="0" borderId="0" xfId="0" applyFont="1"/>
    <xf numFmtId="0" fontId="4" fillId="0" borderId="20" xfId="0" applyFont="1" applyFill="1" applyBorder="1"/>
    <xf numFmtId="0" fontId="2" fillId="0" borderId="20" xfId="0" applyFont="1" applyFill="1" applyBorder="1"/>
    <xf numFmtId="0" fontId="2" fillId="0" borderId="0" xfId="0" applyFont="1" applyFill="1"/>
    <xf numFmtId="0" fontId="4" fillId="4" borderId="20" xfId="0" applyFont="1" applyFill="1" applyBorder="1"/>
    <xf numFmtId="170" fontId="9" fillId="0" borderId="6" xfId="0" applyNumberFormat="1" applyFont="1" applyBorder="1" applyAlignment="1">
      <alignment horizontal="center"/>
    </xf>
    <xf numFmtId="170" fontId="9" fillId="0" borderId="11" xfId="0" applyNumberFormat="1" applyFont="1" applyBorder="1" applyAlignment="1">
      <alignment horizontal="center"/>
    </xf>
    <xf numFmtId="170" fontId="9" fillId="0" borderId="12" xfId="0" applyNumberFormat="1" applyFont="1" applyBorder="1" applyAlignment="1">
      <alignment horizontal="center"/>
    </xf>
    <xf numFmtId="170" fontId="11" fillId="0" borderId="6" xfId="0" applyNumberFormat="1" applyFont="1" applyBorder="1" applyAlignment="1">
      <alignment horizontal="center"/>
    </xf>
    <xf numFmtId="170" fontId="11" fillId="0" borderId="11" xfId="0" applyNumberFormat="1" applyFont="1" applyBorder="1" applyAlignment="1">
      <alignment horizontal="center"/>
    </xf>
    <xf numFmtId="170" fontId="11" fillId="0" borderId="12" xfId="0" applyNumberFormat="1" applyFont="1" applyBorder="1" applyAlignment="1">
      <alignment horizontal="center"/>
    </xf>
    <xf numFmtId="0" fontId="10" fillId="0" borderId="23" xfId="0" applyFont="1" applyBorder="1" applyAlignment="1">
      <alignment wrapText="1"/>
    </xf>
    <xf numFmtId="0" fontId="24" fillId="0" borderId="0" xfId="0" applyFont="1" applyAlignment="1">
      <alignment vertical="center" wrapText="1"/>
    </xf>
    <xf numFmtId="0" fontId="11" fillId="0" borderId="3" xfId="0" applyFont="1" applyFill="1" applyBorder="1" applyAlignment="1">
      <alignment horizontal="center" wrapText="1"/>
    </xf>
    <xf numFmtId="0" fontId="0" fillId="0" borderId="5" xfId="0" applyBorder="1" applyAlignment="1">
      <alignment horizontal="center" wrapText="1"/>
    </xf>
    <xf numFmtId="0" fontId="14" fillId="0" borderId="21" xfId="0" applyFont="1" applyFill="1" applyBorder="1" applyAlignment="1">
      <alignment horizontal="center" vertical="center" wrapText="1"/>
    </xf>
    <xf numFmtId="0" fontId="15" fillId="0" borderId="23" xfId="0" applyFont="1" applyBorder="1" applyAlignment="1">
      <alignment horizontal="center" vertical="center" wrapText="1"/>
    </xf>
    <xf numFmtId="0" fontId="21" fillId="0" borderId="23" xfId="0" applyFont="1" applyBorder="1" applyAlignment="1">
      <alignment horizontal="left" wrapText="1"/>
    </xf>
    <xf numFmtId="0" fontId="0" fillId="0" borderId="23" xfId="0" applyBorder="1" applyAlignment="1">
      <alignment wrapText="1"/>
    </xf>
    <xf numFmtId="0" fontId="0" fillId="0" borderId="0" xfId="0" applyAlignment="1">
      <alignment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Time for Water to Reach End of Hose
1 gph drip emitters @ 4' spacing</a:t>
            </a:r>
          </a:p>
        </c:rich>
      </c:tx>
      <c:layout>
        <c:manualLayout>
          <c:xMode val="edge"/>
          <c:yMode val="edge"/>
          <c:x val="0.2068245943688857"/>
          <c:y val="1.592965639020523E-2"/>
        </c:manualLayout>
      </c:layout>
      <c:overlay val="0"/>
      <c:spPr>
        <a:noFill/>
        <a:ln w="25400">
          <a:noFill/>
        </a:ln>
      </c:spPr>
    </c:title>
    <c:autoTitleDeleted val="0"/>
    <c:plotArea>
      <c:layout>
        <c:manualLayout>
          <c:layoutTarget val="inner"/>
          <c:xMode val="edge"/>
          <c:yMode val="edge"/>
          <c:x val="0.12500385310750223"/>
          <c:y val="0.2070864840547321"/>
          <c:w val="0.82957102516796932"/>
          <c:h val="0.60355975267233897"/>
        </c:manualLayout>
      </c:layout>
      <c:scatterChart>
        <c:scatterStyle val="smoothMarker"/>
        <c:varyColors val="0"/>
        <c:ser>
          <c:idx val="0"/>
          <c:order val="0"/>
          <c:tx>
            <c:strRef>
              <c:f>'Time to get to end'!$L$4</c:f>
              <c:strCache>
                <c:ptCount val="1"/>
                <c:pt idx="0">
                  <c:v>0.500" ID Hose</c:v>
                </c:pt>
              </c:strCache>
            </c:strRef>
          </c:tx>
          <c:spPr>
            <a:ln w="38100">
              <a:solidFill>
                <a:srgbClr val="FF0000"/>
              </a:solidFill>
              <a:prstDash val="solid"/>
            </a:ln>
          </c:spPr>
          <c:marker>
            <c:symbol val="none"/>
          </c:marker>
          <c:xVal>
            <c:numRef>
              <c:f>'Time to get to end'!$K$5:$K$154</c:f>
              <c:numCache>
                <c:formatCode>General</c:formatCode>
                <c:ptCount val="150"/>
                <c:pt idx="0">
                  <c:v>4</c:v>
                </c:pt>
                <c:pt idx="1">
                  <c:v>8</c:v>
                </c:pt>
                <c:pt idx="2">
                  <c:v>12</c:v>
                </c:pt>
                <c:pt idx="3">
                  <c:v>16</c:v>
                </c:pt>
                <c:pt idx="4">
                  <c:v>20</c:v>
                </c:pt>
                <c:pt idx="5">
                  <c:v>24</c:v>
                </c:pt>
                <c:pt idx="6">
                  <c:v>28</c:v>
                </c:pt>
                <c:pt idx="7">
                  <c:v>32</c:v>
                </c:pt>
                <c:pt idx="8">
                  <c:v>36</c:v>
                </c:pt>
                <c:pt idx="9">
                  <c:v>40</c:v>
                </c:pt>
                <c:pt idx="10">
                  <c:v>44</c:v>
                </c:pt>
                <c:pt idx="11">
                  <c:v>48</c:v>
                </c:pt>
                <c:pt idx="12">
                  <c:v>52</c:v>
                </c:pt>
                <c:pt idx="13">
                  <c:v>56</c:v>
                </c:pt>
                <c:pt idx="14">
                  <c:v>60</c:v>
                </c:pt>
                <c:pt idx="15">
                  <c:v>64</c:v>
                </c:pt>
                <c:pt idx="16">
                  <c:v>68</c:v>
                </c:pt>
                <c:pt idx="17">
                  <c:v>72</c:v>
                </c:pt>
                <c:pt idx="18">
                  <c:v>76</c:v>
                </c:pt>
                <c:pt idx="19">
                  <c:v>80</c:v>
                </c:pt>
                <c:pt idx="20">
                  <c:v>84</c:v>
                </c:pt>
                <c:pt idx="21">
                  <c:v>88</c:v>
                </c:pt>
                <c:pt idx="22">
                  <c:v>92</c:v>
                </c:pt>
                <c:pt idx="23">
                  <c:v>96</c:v>
                </c:pt>
                <c:pt idx="24">
                  <c:v>100</c:v>
                </c:pt>
                <c:pt idx="25">
                  <c:v>104</c:v>
                </c:pt>
                <c:pt idx="26">
                  <c:v>108</c:v>
                </c:pt>
                <c:pt idx="27">
                  <c:v>112</c:v>
                </c:pt>
                <c:pt idx="28">
                  <c:v>116</c:v>
                </c:pt>
                <c:pt idx="29">
                  <c:v>120</c:v>
                </c:pt>
                <c:pt idx="30">
                  <c:v>124</c:v>
                </c:pt>
                <c:pt idx="31">
                  <c:v>128</c:v>
                </c:pt>
                <c:pt idx="32">
                  <c:v>132</c:v>
                </c:pt>
                <c:pt idx="33">
                  <c:v>136</c:v>
                </c:pt>
                <c:pt idx="34">
                  <c:v>140</c:v>
                </c:pt>
                <c:pt idx="35">
                  <c:v>144</c:v>
                </c:pt>
                <c:pt idx="36">
                  <c:v>148</c:v>
                </c:pt>
                <c:pt idx="37">
                  <c:v>152</c:v>
                </c:pt>
                <c:pt idx="38">
                  <c:v>156</c:v>
                </c:pt>
                <c:pt idx="39">
                  <c:v>160</c:v>
                </c:pt>
                <c:pt idx="40">
                  <c:v>164</c:v>
                </c:pt>
                <c:pt idx="41">
                  <c:v>168</c:v>
                </c:pt>
                <c:pt idx="42">
                  <c:v>172</c:v>
                </c:pt>
                <c:pt idx="43">
                  <c:v>176</c:v>
                </c:pt>
                <c:pt idx="44">
                  <c:v>180</c:v>
                </c:pt>
                <c:pt idx="45">
                  <c:v>184</c:v>
                </c:pt>
                <c:pt idx="46">
                  <c:v>188</c:v>
                </c:pt>
                <c:pt idx="47">
                  <c:v>192</c:v>
                </c:pt>
                <c:pt idx="48">
                  <c:v>196</c:v>
                </c:pt>
                <c:pt idx="49">
                  <c:v>200</c:v>
                </c:pt>
                <c:pt idx="50">
                  <c:v>204</c:v>
                </c:pt>
                <c:pt idx="51">
                  <c:v>208</c:v>
                </c:pt>
                <c:pt idx="52">
                  <c:v>212</c:v>
                </c:pt>
                <c:pt idx="53">
                  <c:v>216</c:v>
                </c:pt>
                <c:pt idx="54">
                  <c:v>220</c:v>
                </c:pt>
                <c:pt idx="55">
                  <c:v>224</c:v>
                </c:pt>
                <c:pt idx="56">
                  <c:v>228</c:v>
                </c:pt>
                <c:pt idx="57">
                  <c:v>232</c:v>
                </c:pt>
                <c:pt idx="58">
                  <c:v>236</c:v>
                </c:pt>
                <c:pt idx="59">
                  <c:v>240</c:v>
                </c:pt>
                <c:pt idx="60">
                  <c:v>244</c:v>
                </c:pt>
                <c:pt idx="61">
                  <c:v>248</c:v>
                </c:pt>
                <c:pt idx="62">
                  <c:v>252</c:v>
                </c:pt>
                <c:pt idx="63">
                  <c:v>256</c:v>
                </c:pt>
                <c:pt idx="64">
                  <c:v>260</c:v>
                </c:pt>
                <c:pt idx="65">
                  <c:v>264</c:v>
                </c:pt>
                <c:pt idx="66">
                  <c:v>268</c:v>
                </c:pt>
                <c:pt idx="67">
                  <c:v>272</c:v>
                </c:pt>
                <c:pt idx="68">
                  <c:v>276</c:v>
                </c:pt>
                <c:pt idx="69">
                  <c:v>280</c:v>
                </c:pt>
                <c:pt idx="70">
                  <c:v>284</c:v>
                </c:pt>
                <c:pt idx="71">
                  <c:v>288</c:v>
                </c:pt>
                <c:pt idx="72">
                  <c:v>292</c:v>
                </c:pt>
                <c:pt idx="73">
                  <c:v>296</c:v>
                </c:pt>
                <c:pt idx="74">
                  <c:v>300</c:v>
                </c:pt>
                <c:pt idx="75">
                  <c:v>304</c:v>
                </c:pt>
                <c:pt idx="76">
                  <c:v>308</c:v>
                </c:pt>
                <c:pt idx="77">
                  <c:v>312</c:v>
                </c:pt>
                <c:pt idx="78">
                  <c:v>316</c:v>
                </c:pt>
                <c:pt idx="79">
                  <c:v>320</c:v>
                </c:pt>
                <c:pt idx="80">
                  <c:v>324</c:v>
                </c:pt>
                <c:pt idx="81">
                  <c:v>328</c:v>
                </c:pt>
                <c:pt idx="82">
                  <c:v>332</c:v>
                </c:pt>
                <c:pt idx="83">
                  <c:v>336</c:v>
                </c:pt>
                <c:pt idx="84">
                  <c:v>340</c:v>
                </c:pt>
                <c:pt idx="85">
                  <c:v>344</c:v>
                </c:pt>
                <c:pt idx="86">
                  <c:v>348</c:v>
                </c:pt>
                <c:pt idx="87">
                  <c:v>352</c:v>
                </c:pt>
                <c:pt idx="88">
                  <c:v>356</c:v>
                </c:pt>
                <c:pt idx="89">
                  <c:v>360</c:v>
                </c:pt>
                <c:pt idx="90">
                  <c:v>364</c:v>
                </c:pt>
                <c:pt idx="91">
                  <c:v>368</c:v>
                </c:pt>
                <c:pt idx="92">
                  <c:v>372</c:v>
                </c:pt>
                <c:pt idx="93">
                  <c:v>376</c:v>
                </c:pt>
                <c:pt idx="94">
                  <c:v>380</c:v>
                </c:pt>
                <c:pt idx="95">
                  <c:v>384</c:v>
                </c:pt>
                <c:pt idx="96">
                  <c:v>388</c:v>
                </c:pt>
                <c:pt idx="97">
                  <c:v>392</c:v>
                </c:pt>
                <c:pt idx="98">
                  <c:v>396</c:v>
                </c:pt>
                <c:pt idx="99">
                  <c:v>400</c:v>
                </c:pt>
                <c:pt idx="100">
                  <c:v>404</c:v>
                </c:pt>
                <c:pt idx="101">
                  <c:v>408</c:v>
                </c:pt>
                <c:pt idx="102">
                  <c:v>412</c:v>
                </c:pt>
                <c:pt idx="103">
                  <c:v>416</c:v>
                </c:pt>
                <c:pt idx="104">
                  <c:v>420</c:v>
                </c:pt>
                <c:pt idx="105">
                  <c:v>424</c:v>
                </c:pt>
                <c:pt idx="106">
                  <c:v>428</c:v>
                </c:pt>
                <c:pt idx="107">
                  <c:v>432</c:v>
                </c:pt>
                <c:pt idx="108">
                  <c:v>436</c:v>
                </c:pt>
                <c:pt idx="109">
                  <c:v>440</c:v>
                </c:pt>
                <c:pt idx="110">
                  <c:v>444</c:v>
                </c:pt>
                <c:pt idx="111">
                  <c:v>448</c:v>
                </c:pt>
                <c:pt idx="112">
                  <c:v>452</c:v>
                </c:pt>
                <c:pt idx="113">
                  <c:v>456</c:v>
                </c:pt>
                <c:pt idx="114">
                  <c:v>460</c:v>
                </c:pt>
                <c:pt idx="115">
                  <c:v>464</c:v>
                </c:pt>
                <c:pt idx="116">
                  <c:v>468</c:v>
                </c:pt>
                <c:pt idx="117">
                  <c:v>472</c:v>
                </c:pt>
                <c:pt idx="118">
                  <c:v>476</c:v>
                </c:pt>
                <c:pt idx="119">
                  <c:v>480</c:v>
                </c:pt>
                <c:pt idx="120">
                  <c:v>484</c:v>
                </c:pt>
                <c:pt idx="121">
                  <c:v>488</c:v>
                </c:pt>
                <c:pt idx="122">
                  <c:v>492</c:v>
                </c:pt>
                <c:pt idx="123">
                  <c:v>496</c:v>
                </c:pt>
                <c:pt idx="124">
                  <c:v>500</c:v>
                </c:pt>
                <c:pt idx="125">
                  <c:v>504</c:v>
                </c:pt>
                <c:pt idx="126">
                  <c:v>508</c:v>
                </c:pt>
                <c:pt idx="127">
                  <c:v>512</c:v>
                </c:pt>
                <c:pt idx="128">
                  <c:v>516</c:v>
                </c:pt>
                <c:pt idx="129">
                  <c:v>520</c:v>
                </c:pt>
                <c:pt idx="130">
                  <c:v>524</c:v>
                </c:pt>
                <c:pt idx="131">
                  <c:v>528</c:v>
                </c:pt>
                <c:pt idx="132">
                  <c:v>532</c:v>
                </c:pt>
                <c:pt idx="133">
                  <c:v>536</c:v>
                </c:pt>
                <c:pt idx="134">
                  <c:v>540</c:v>
                </c:pt>
                <c:pt idx="135">
                  <c:v>544</c:v>
                </c:pt>
                <c:pt idx="136">
                  <c:v>548</c:v>
                </c:pt>
                <c:pt idx="137">
                  <c:v>552</c:v>
                </c:pt>
                <c:pt idx="138">
                  <c:v>556</c:v>
                </c:pt>
                <c:pt idx="139">
                  <c:v>560</c:v>
                </c:pt>
                <c:pt idx="140">
                  <c:v>564</c:v>
                </c:pt>
                <c:pt idx="141">
                  <c:v>568</c:v>
                </c:pt>
                <c:pt idx="142">
                  <c:v>572</c:v>
                </c:pt>
                <c:pt idx="143">
                  <c:v>576</c:v>
                </c:pt>
                <c:pt idx="144">
                  <c:v>580</c:v>
                </c:pt>
                <c:pt idx="145">
                  <c:v>584</c:v>
                </c:pt>
                <c:pt idx="146">
                  <c:v>588</c:v>
                </c:pt>
                <c:pt idx="147">
                  <c:v>592</c:v>
                </c:pt>
                <c:pt idx="148">
                  <c:v>596</c:v>
                </c:pt>
                <c:pt idx="149">
                  <c:v>600</c:v>
                </c:pt>
              </c:numCache>
            </c:numRef>
          </c:xVal>
          <c:yVal>
            <c:numRef>
              <c:f>'Time to get to end'!$L$5:$L$154</c:f>
              <c:numCache>
                <c:formatCode>0.00</c:formatCode>
                <c:ptCount val="150"/>
                <c:pt idx="0">
                  <c:v>1.6318347222222224E-2</c:v>
                </c:pt>
                <c:pt idx="1">
                  <c:v>3.2746213553318422E-2</c:v>
                </c:pt>
                <c:pt idx="2">
                  <c:v>4.9285078981246344E-2</c:v>
                </c:pt>
                <c:pt idx="3">
                  <c:v>6.593645369779963E-2</c:v>
                </c:pt>
                <c:pt idx="4">
                  <c:v>8.2701878926110139E-2</c:v>
                </c:pt>
                <c:pt idx="5">
                  <c:v>9.9582927776684857E-2</c:v>
                </c:pt>
                <c:pt idx="6">
                  <c:v>0.11658120613316633</c:v>
                </c:pt>
                <c:pt idx="7">
                  <c:v>0.13369835356906376</c:v>
                </c:pt>
                <c:pt idx="8">
                  <c:v>0.1509360442967633</c:v>
                </c:pt>
                <c:pt idx="9">
                  <c:v>0.1682959881501912</c:v>
                </c:pt>
                <c:pt idx="10">
                  <c:v>0.18577993160257217</c:v>
                </c:pt>
                <c:pt idx="11">
                  <c:v>0.2033896588207976</c:v>
                </c:pt>
                <c:pt idx="12">
                  <c:v>0.22112699275799566</c:v>
                </c:pt>
                <c:pt idx="13">
                  <c:v>0.2389937962859762</c:v>
                </c:pt>
                <c:pt idx="14">
                  <c:v>0.25699197336930951</c:v>
                </c:pt>
                <c:pt idx="15">
                  <c:v>0.27512347028288975</c:v>
                </c:pt>
                <c:pt idx="16">
                  <c:v>0.29339027687492952</c:v>
                </c:pt>
                <c:pt idx="17">
                  <c:v>0.31179442787743578</c:v>
                </c:pt>
                <c:pt idx="18">
                  <c:v>0.33033800426632465</c:v>
                </c:pt>
                <c:pt idx="19">
                  <c:v>0.34902313467344931</c:v>
                </c:pt>
                <c:pt idx="20">
                  <c:v>0.36785199685293651</c:v>
                </c:pt>
                <c:pt idx="21">
                  <c:v>0.38682681920435769</c:v>
                </c:pt>
                <c:pt idx="22">
                  <c:v>0.40594988235539936</c:v>
                </c:pt>
                <c:pt idx="23">
                  <c:v>0.42522352080684295</c:v>
                </c:pt>
                <c:pt idx="24">
                  <c:v>0.44465012464282178</c:v>
                </c:pt>
                <c:pt idx="25">
                  <c:v>0.46423214130948842</c:v>
                </c:pt>
                <c:pt idx="26">
                  <c:v>0.48397207746540238</c:v>
                </c:pt>
                <c:pt idx="27">
                  <c:v>0.50387250090713676</c:v>
                </c:pt>
                <c:pt idx="28">
                  <c:v>0.52393604257380344</c:v>
                </c:pt>
                <c:pt idx="29">
                  <c:v>0.54416539863440949</c:v>
                </c:pt>
                <c:pt idx="30">
                  <c:v>0.56456333266218728</c:v>
                </c:pt>
                <c:pt idx="31">
                  <c:v>0.58513267790028256</c:v>
                </c:pt>
                <c:pt idx="32">
                  <c:v>0.60587633962344645</c:v>
                </c:pt>
                <c:pt idx="33">
                  <c:v>0.62679729760065439</c:v>
                </c:pt>
                <c:pt idx="34">
                  <c:v>0.64789860866387283</c:v>
                </c:pt>
                <c:pt idx="35">
                  <c:v>0.66918340938851051</c:v>
                </c:pt>
                <c:pt idx="36">
                  <c:v>0.69065491889143449</c:v>
                </c:pt>
                <c:pt idx="37">
                  <c:v>0.71231644175279141</c:v>
                </c:pt>
                <c:pt idx="38">
                  <c:v>0.73417137106826758</c:v>
                </c:pt>
                <c:pt idx="39">
                  <c:v>0.75622319163883811</c:v>
                </c:pt>
                <c:pt idx="40">
                  <c:v>0.77847548330550476</c:v>
                </c:pt>
                <c:pt idx="41">
                  <c:v>0.80093192443700323</c:v>
                </c:pt>
                <c:pt idx="42">
                  <c:v>0.82359629557897851</c:v>
                </c:pt>
                <c:pt idx="43">
                  <c:v>0.84647248327368252</c:v>
                </c:pt>
                <c:pt idx="44">
                  <c:v>0.86956448405984599</c:v>
                </c:pt>
                <c:pt idx="45">
                  <c:v>0.89287640866302054</c:v>
                </c:pt>
                <c:pt idx="46">
                  <c:v>0.91641248638737949</c:v>
                </c:pt>
                <c:pt idx="47">
                  <c:v>0.9401770697207128</c:v>
                </c:pt>
                <c:pt idx="48">
                  <c:v>0.96417463916515722</c:v>
                </c:pt>
                <c:pt idx="49">
                  <c:v>0.98840980830707137</c:v>
                </c:pt>
                <c:pt idx="50">
                  <c:v>1.0128873291404048</c:v>
                </c:pt>
                <c:pt idx="51">
                  <c:v>1.0376120976589234</c:v>
                </c:pt>
                <c:pt idx="52">
                  <c:v>1.0625891597337533</c:v>
                </c:pt>
                <c:pt idx="53">
                  <c:v>1.0878237172938907</c:v>
                </c:pt>
                <c:pt idx="54">
                  <c:v>1.1133211348286129</c:v>
                </c:pt>
                <c:pt idx="55">
                  <c:v>1.1390869462321218</c:v>
                </c:pt>
                <c:pt idx="56">
                  <c:v>1.1651268620122637</c:v>
                </c:pt>
                <c:pt idx="57">
                  <c:v>1.1914467768868156</c:v>
                </c:pt>
                <c:pt idx="58">
                  <c:v>1.2180527777926127</c:v>
                </c:pt>
                <c:pt idx="59">
                  <c:v>1.2449511523347372</c:v>
                </c:pt>
                <c:pt idx="60">
                  <c:v>1.2721483977051076</c:v>
                </c:pt>
                <c:pt idx="61">
                  <c:v>1.2996512301021113</c:v>
                </c:pt>
                <c:pt idx="62">
                  <c:v>1.3274665946854447</c:v>
                </c:pt>
                <c:pt idx="63">
                  <c:v>1.3556016761030691</c:v>
                </c:pt>
                <c:pt idx="64">
                  <c:v>1.384063909630201</c:v>
                </c:pt>
                <c:pt idx="65">
                  <c:v>1.4128609929635343</c:v>
                </c:pt>
                <c:pt idx="66">
                  <c:v>1.4420008987175026</c:v>
                </c:pt>
                <c:pt idx="67">
                  <c:v>1.4714918876733258</c:v>
                </c:pt>
                <c:pt idx="68">
                  <c:v>1.5013425228359274</c:v>
                </c:pt>
                <c:pt idx="69">
                  <c:v>1.5315616843585611</c:v>
                </c:pt>
                <c:pt idx="70">
                  <c:v>1.5621585854002278</c:v>
                </c:pt>
                <c:pt idx="71">
                  <c:v>1.5931427889867256</c:v>
                </c:pt>
                <c:pt idx="72">
                  <c:v>1.6245242259525374</c:v>
                </c:pt>
                <c:pt idx="73">
                  <c:v>1.6563132140477754</c:v>
                </c:pt>
                <c:pt idx="74">
                  <c:v>1.6885204783021615</c:v>
                </c:pt>
                <c:pt idx="75">
                  <c:v>1.721157172746606</c:v>
                </c:pt>
                <c:pt idx="76">
                  <c:v>1.7542349036024618</c:v>
                </c:pt>
                <c:pt idx="77">
                  <c:v>1.7877657540590828</c:v>
                </c:pt>
                <c:pt idx="78">
                  <c:v>1.8217623107720458</c:v>
                </c:pt>
                <c:pt idx="79">
                  <c:v>1.8562376922274448</c:v>
                </c:pt>
                <c:pt idx="80">
                  <c:v>1.8912055791322067</c:v>
                </c:pt>
                <c:pt idx="81">
                  <c:v>1.9266802470066029</c:v>
                </c:pt>
                <c:pt idx="82">
                  <c:v>1.9626766011732695</c:v>
                </c:pt>
                <c:pt idx="83">
                  <c:v>1.9992102143573491</c:v>
                </c:pt>
                <c:pt idx="84">
                  <c:v>2.036297367135127</c:v>
                </c:pt>
                <c:pt idx="85">
                  <c:v>2.0739550914941014</c:v>
                </c:pt>
                <c:pt idx="86">
                  <c:v>2.1122012177961849</c:v>
                </c:pt>
                <c:pt idx="87">
                  <c:v>2.1510544254681427</c:v>
                </c:pt>
                <c:pt idx="88">
                  <c:v>2.1905342977799709</c:v>
                </c:pt>
                <c:pt idx="89">
                  <c:v>2.230661381113304</c:v>
                </c:pt>
                <c:pt idx="90">
                  <c:v>2.2714572491688596</c:v>
                </c:pt>
                <c:pt idx="91">
                  <c:v>2.3129445726151872</c:v>
                </c:pt>
                <c:pt idx="92">
                  <c:v>2.3551471947416238</c:v>
                </c:pt>
                <c:pt idx="93">
                  <c:v>2.3980902137474716</c:v>
                </c:pt>
                <c:pt idx="94">
                  <c:v>2.4418000723784239</c:v>
                </c:pt>
                <c:pt idx="95">
                  <c:v>2.4863046557117574</c:v>
                </c:pt>
                <c:pt idx="96">
                  <c:v>2.5316333979957082</c:v>
                </c:pt>
                <c:pt idx="97">
                  <c:v>2.5778173995680351</c:v>
                </c:pt>
                <c:pt idx="98">
                  <c:v>2.624889555016753</c:v>
                </c:pt>
                <c:pt idx="99">
                  <c:v>2.6728846939056421</c:v>
                </c:pt>
                <c:pt idx="100">
                  <c:v>2.721839735572309</c:v>
                </c:pt>
                <c:pt idx="101">
                  <c:v>2.7717938597219689</c:v>
                </c:pt>
                <c:pt idx="102">
                  <c:v>2.8227886947914134</c:v>
                </c:pt>
                <c:pt idx="103">
                  <c:v>2.8748685263516971</c:v>
                </c:pt>
                <c:pt idx="104">
                  <c:v>2.9280805281632913</c:v>
                </c:pt>
                <c:pt idx="105">
                  <c:v>2.9824750189040321</c:v>
                </c:pt>
                <c:pt idx="106">
                  <c:v>3.0381057480706986</c:v>
                </c:pt>
                <c:pt idx="107">
                  <c:v>3.0950302151249622</c:v>
                </c:pt>
                <c:pt idx="108">
                  <c:v>3.1533100266328988</c:v>
                </c:pt>
                <c:pt idx="109">
                  <c:v>3.2130112969581019</c:v>
                </c:pt>
                <c:pt idx="110">
                  <c:v>3.2742050990414353</c:v>
                </c:pt>
                <c:pt idx="111">
                  <c:v>3.336967972973059</c:v>
                </c:pt>
                <c:pt idx="112">
                  <c:v>3.4013825014818311</c:v>
                </c:pt>
                <c:pt idx="113">
                  <c:v>3.4675379631935428</c:v>
                </c:pt>
                <c:pt idx="114">
                  <c:v>3.5355310766194687</c:v>
                </c:pt>
                <c:pt idx="115">
                  <c:v>3.6054668504289924</c:v>
                </c:pt>
                <c:pt idx="116">
                  <c:v>3.6774595587623256</c:v>
                </c:pt>
                <c:pt idx="117">
                  <c:v>3.7516338643178813</c:v>
                </c:pt>
                <c:pt idx="118">
                  <c:v>3.8281261169220477</c:v>
                </c:pt>
                <c:pt idx="119">
                  <c:v>3.9070858615457036</c:v>
                </c:pt>
                <c:pt idx="120">
                  <c:v>3.9886775976568147</c:v>
                </c:pt>
                <c:pt idx="121">
                  <c:v>4.0730828419096881</c:v>
                </c:pt>
                <c:pt idx="122">
                  <c:v>4.1605025591715927</c:v>
                </c:pt>
                <c:pt idx="123">
                  <c:v>4.2511600437394943</c:v>
                </c:pt>
                <c:pt idx="124">
                  <c:v>4.3453043546369301</c:v>
                </c:pt>
                <c:pt idx="125">
                  <c:v>4.4432144379702638</c:v>
                </c:pt>
                <c:pt idx="126">
                  <c:v>4.5452041081091528</c:v>
                </c:pt>
                <c:pt idx="127">
                  <c:v>4.6516281117323413</c:v>
                </c:pt>
                <c:pt idx="128">
                  <c:v>4.7628895700656741</c:v>
                </c:pt>
                <c:pt idx="129">
                  <c:v>4.8794491930815473</c:v>
                </c:pt>
                <c:pt idx="130">
                  <c:v>5.0018367972482141</c:v>
                </c:pt>
                <c:pt idx="131">
                  <c:v>5.1306658542657582</c:v>
                </c:pt>
                <c:pt idx="132">
                  <c:v>5.2666520811176101</c:v>
                </c:pt>
                <c:pt idx="133">
                  <c:v>5.4106374977842764</c:v>
                </c:pt>
                <c:pt idx="134">
                  <c:v>5.5636220029926093</c:v>
                </c:pt>
                <c:pt idx="135">
                  <c:v>5.7268054752148316</c:v>
                </c:pt>
                <c:pt idx="136">
                  <c:v>5.901644909738641</c:v>
                </c:pt>
                <c:pt idx="137">
                  <c:v>6.0899335315335126</c:v>
                </c:pt>
                <c:pt idx="138">
                  <c:v>6.2939128718112904</c:v>
                </c:pt>
                <c:pt idx="139">
                  <c:v>6.5164357884779571</c:v>
                </c:pt>
                <c:pt idx="140">
                  <c:v>6.7612109968112906</c:v>
                </c:pt>
                <c:pt idx="141">
                  <c:v>7.0331834505149944</c:v>
                </c:pt>
                <c:pt idx="142">
                  <c:v>7.3391524609316612</c:v>
                </c:pt>
                <c:pt idx="143">
                  <c:v>7.6888313299792799</c:v>
                </c:pt>
                <c:pt idx="144">
                  <c:v>8.0967900105348356</c:v>
                </c:pt>
                <c:pt idx="145">
                  <c:v>8.5863404272015025</c:v>
                </c:pt>
                <c:pt idx="146">
                  <c:v>9.1982784480348361</c:v>
                </c:pt>
                <c:pt idx="147">
                  <c:v>10.014195809145948</c:v>
                </c:pt>
                <c:pt idx="148">
                  <c:v>11.238071850812615</c:v>
                </c:pt>
                <c:pt idx="149">
                  <c:v>13.685823934145947</c:v>
                </c:pt>
              </c:numCache>
            </c:numRef>
          </c:yVal>
          <c:smooth val="1"/>
          <c:extLst>
            <c:ext xmlns:c16="http://schemas.microsoft.com/office/drawing/2014/chart" uri="{C3380CC4-5D6E-409C-BE32-E72D297353CC}">
              <c16:uniqueId val="{00000000-CE47-4682-BE25-13CB49556090}"/>
            </c:ext>
          </c:extLst>
        </c:ser>
        <c:ser>
          <c:idx val="1"/>
          <c:order val="1"/>
          <c:tx>
            <c:strRef>
              <c:f>'Time to get to end'!$M$4</c:f>
              <c:strCache>
                <c:ptCount val="1"/>
                <c:pt idx="0">
                  <c:v>0.620" ID Hose</c:v>
                </c:pt>
              </c:strCache>
            </c:strRef>
          </c:tx>
          <c:spPr>
            <a:ln w="38100">
              <a:solidFill>
                <a:srgbClr val="FF00FF"/>
              </a:solidFill>
              <a:prstDash val="solid"/>
            </a:ln>
          </c:spPr>
          <c:marker>
            <c:symbol val="none"/>
          </c:marker>
          <c:xVal>
            <c:numRef>
              <c:f>'Time to get to end'!$K$5:$K$154</c:f>
              <c:numCache>
                <c:formatCode>General</c:formatCode>
                <c:ptCount val="150"/>
                <c:pt idx="0">
                  <c:v>4</c:v>
                </c:pt>
                <c:pt idx="1">
                  <c:v>8</c:v>
                </c:pt>
                <c:pt idx="2">
                  <c:v>12</c:v>
                </c:pt>
                <c:pt idx="3">
                  <c:v>16</c:v>
                </c:pt>
                <c:pt idx="4">
                  <c:v>20</c:v>
                </c:pt>
                <c:pt idx="5">
                  <c:v>24</c:v>
                </c:pt>
                <c:pt idx="6">
                  <c:v>28</c:v>
                </c:pt>
                <c:pt idx="7">
                  <c:v>32</c:v>
                </c:pt>
                <c:pt idx="8">
                  <c:v>36</c:v>
                </c:pt>
                <c:pt idx="9">
                  <c:v>40</c:v>
                </c:pt>
                <c:pt idx="10">
                  <c:v>44</c:v>
                </c:pt>
                <c:pt idx="11">
                  <c:v>48</c:v>
                </c:pt>
                <c:pt idx="12">
                  <c:v>52</c:v>
                </c:pt>
                <c:pt idx="13">
                  <c:v>56</c:v>
                </c:pt>
                <c:pt idx="14">
                  <c:v>60</c:v>
                </c:pt>
                <c:pt idx="15">
                  <c:v>64</c:v>
                </c:pt>
                <c:pt idx="16">
                  <c:v>68</c:v>
                </c:pt>
                <c:pt idx="17">
                  <c:v>72</c:v>
                </c:pt>
                <c:pt idx="18">
                  <c:v>76</c:v>
                </c:pt>
                <c:pt idx="19">
                  <c:v>80</c:v>
                </c:pt>
                <c:pt idx="20">
                  <c:v>84</c:v>
                </c:pt>
                <c:pt idx="21">
                  <c:v>88</c:v>
                </c:pt>
                <c:pt idx="22">
                  <c:v>92</c:v>
                </c:pt>
                <c:pt idx="23">
                  <c:v>96</c:v>
                </c:pt>
                <c:pt idx="24">
                  <c:v>100</c:v>
                </c:pt>
                <c:pt idx="25">
                  <c:v>104</c:v>
                </c:pt>
                <c:pt idx="26">
                  <c:v>108</c:v>
                </c:pt>
                <c:pt idx="27">
                  <c:v>112</c:v>
                </c:pt>
                <c:pt idx="28">
                  <c:v>116</c:v>
                </c:pt>
                <c:pt idx="29">
                  <c:v>120</c:v>
                </c:pt>
                <c:pt idx="30">
                  <c:v>124</c:v>
                </c:pt>
                <c:pt idx="31">
                  <c:v>128</c:v>
                </c:pt>
                <c:pt idx="32">
                  <c:v>132</c:v>
                </c:pt>
                <c:pt idx="33">
                  <c:v>136</c:v>
                </c:pt>
                <c:pt idx="34">
                  <c:v>140</c:v>
                </c:pt>
                <c:pt idx="35">
                  <c:v>144</c:v>
                </c:pt>
                <c:pt idx="36">
                  <c:v>148</c:v>
                </c:pt>
                <c:pt idx="37">
                  <c:v>152</c:v>
                </c:pt>
                <c:pt idx="38">
                  <c:v>156</c:v>
                </c:pt>
                <c:pt idx="39">
                  <c:v>160</c:v>
                </c:pt>
                <c:pt idx="40">
                  <c:v>164</c:v>
                </c:pt>
                <c:pt idx="41">
                  <c:v>168</c:v>
                </c:pt>
                <c:pt idx="42">
                  <c:v>172</c:v>
                </c:pt>
                <c:pt idx="43">
                  <c:v>176</c:v>
                </c:pt>
                <c:pt idx="44">
                  <c:v>180</c:v>
                </c:pt>
                <c:pt idx="45">
                  <c:v>184</c:v>
                </c:pt>
                <c:pt idx="46">
                  <c:v>188</c:v>
                </c:pt>
                <c:pt idx="47">
                  <c:v>192</c:v>
                </c:pt>
                <c:pt idx="48">
                  <c:v>196</c:v>
                </c:pt>
                <c:pt idx="49">
                  <c:v>200</c:v>
                </c:pt>
                <c:pt idx="50">
                  <c:v>204</c:v>
                </c:pt>
                <c:pt idx="51">
                  <c:v>208</c:v>
                </c:pt>
                <c:pt idx="52">
                  <c:v>212</c:v>
                </c:pt>
                <c:pt idx="53">
                  <c:v>216</c:v>
                </c:pt>
                <c:pt idx="54">
                  <c:v>220</c:v>
                </c:pt>
                <c:pt idx="55">
                  <c:v>224</c:v>
                </c:pt>
                <c:pt idx="56">
                  <c:v>228</c:v>
                </c:pt>
                <c:pt idx="57">
                  <c:v>232</c:v>
                </c:pt>
                <c:pt idx="58">
                  <c:v>236</c:v>
                </c:pt>
                <c:pt idx="59">
                  <c:v>240</c:v>
                </c:pt>
                <c:pt idx="60">
                  <c:v>244</c:v>
                </c:pt>
                <c:pt idx="61">
                  <c:v>248</c:v>
                </c:pt>
                <c:pt idx="62">
                  <c:v>252</c:v>
                </c:pt>
                <c:pt idx="63">
                  <c:v>256</c:v>
                </c:pt>
                <c:pt idx="64">
                  <c:v>260</c:v>
                </c:pt>
                <c:pt idx="65">
                  <c:v>264</c:v>
                </c:pt>
                <c:pt idx="66">
                  <c:v>268</c:v>
                </c:pt>
                <c:pt idx="67">
                  <c:v>272</c:v>
                </c:pt>
                <c:pt idx="68">
                  <c:v>276</c:v>
                </c:pt>
                <c:pt idx="69">
                  <c:v>280</c:v>
                </c:pt>
                <c:pt idx="70">
                  <c:v>284</c:v>
                </c:pt>
                <c:pt idx="71">
                  <c:v>288</c:v>
                </c:pt>
                <c:pt idx="72">
                  <c:v>292</c:v>
                </c:pt>
                <c:pt idx="73">
                  <c:v>296</c:v>
                </c:pt>
                <c:pt idx="74">
                  <c:v>300</c:v>
                </c:pt>
                <c:pt idx="75">
                  <c:v>304</c:v>
                </c:pt>
                <c:pt idx="76">
                  <c:v>308</c:v>
                </c:pt>
                <c:pt idx="77">
                  <c:v>312</c:v>
                </c:pt>
                <c:pt idx="78">
                  <c:v>316</c:v>
                </c:pt>
                <c:pt idx="79">
                  <c:v>320</c:v>
                </c:pt>
                <c:pt idx="80">
                  <c:v>324</c:v>
                </c:pt>
                <c:pt idx="81">
                  <c:v>328</c:v>
                </c:pt>
                <c:pt idx="82">
                  <c:v>332</c:v>
                </c:pt>
                <c:pt idx="83">
                  <c:v>336</c:v>
                </c:pt>
                <c:pt idx="84">
                  <c:v>340</c:v>
                </c:pt>
                <c:pt idx="85">
                  <c:v>344</c:v>
                </c:pt>
                <c:pt idx="86">
                  <c:v>348</c:v>
                </c:pt>
                <c:pt idx="87">
                  <c:v>352</c:v>
                </c:pt>
                <c:pt idx="88">
                  <c:v>356</c:v>
                </c:pt>
                <c:pt idx="89">
                  <c:v>360</c:v>
                </c:pt>
                <c:pt idx="90">
                  <c:v>364</c:v>
                </c:pt>
                <c:pt idx="91">
                  <c:v>368</c:v>
                </c:pt>
                <c:pt idx="92">
                  <c:v>372</c:v>
                </c:pt>
                <c:pt idx="93">
                  <c:v>376</c:v>
                </c:pt>
                <c:pt idx="94">
                  <c:v>380</c:v>
                </c:pt>
                <c:pt idx="95">
                  <c:v>384</c:v>
                </c:pt>
                <c:pt idx="96">
                  <c:v>388</c:v>
                </c:pt>
                <c:pt idx="97">
                  <c:v>392</c:v>
                </c:pt>
                <c:pt idx="98">
                  <c:v>396</c:v>
                </c:pt>
                <c:pt idx="99">
                  <c:v>400</c:v>
                </c:pt>
                <c:pt idx="100">
                  <c:v>404</c:v>
                </c:pt>
                <c:pt idx="101">
                  <c:v>408</c:v>
                </c:pt>
                <c:pt idx="102">
                  <c:v>412</c:v>
                </c:pt>
                <c:pt idx="103">
                  <c:v>416</c:v>
                </c:pt>
                <c:pt idx="104">
                  <c:v>420</c:v>
                </c:pt>
                <c:pt idx="105">
                  <c:v>424</c:v>
                </c:pt>
                <c:pt idx="106">
                  <c:v>428</c:v>
                </c:pt>
                <c:pt idx="107">
                  <c:v>432</c:v>
                </c:pt>
                <c:pt idx="108">
                  <c:v>436</c:v>
                </c:pt>
                <c:pt idx="109">
                  <c:v>440</c:v>
                </c:pt>
                <c:pt idx="110">
                  <c:v>444</c:v>
                </c:pt>
                <c:pt idx="111">
                  <c:v>448</c:v>
                </c:pt>
                <c:pt idx="112">
                  <c:v>452</c:v>
                </c:pt>
                <c:pt idx="113">
                  <c:v>456</c:v>
                </c:pt>
                <c:pt idx="114">
                  <c:v>460</c:v>
                </c:pt>
                <c:pt idx="115">
                  <c:v>464</c:v>
                </c:pt>
                <c:pt idx="116">
                  <c:v>468</c:v>
                </c:pt>
                <c:pt idx="117">
                  <c:v>472</c:v>
                </c:pt>
                <c:pt idx="118">
                  <c:v>476</c:v>
                </c:pt>
                <c:pt idx="119">
                  <c:v>480</c:v>
                </c:pt>
                <c:pt idx="120">
                  <c:v>484</c:v>
                </c:pt>
                <c:pt idx="121">
                  <c:v>488</c:v>
                </c:pt>
                <c:pt idx="122">
                  <c:v>492</c:v>
                </c:pt>
                <c:pt idx="123">
                  <c:v>496</c:v>
                </c:pt>
                <c:pt idx="124">
                  <c:v>500</c:v>
                </c:pt>
                <c:pt idx="125">
                  <c:v>504</c:v>
                </c:pt>
                <c:pt idx="126">
                  <c:v>508</c:v>
                </c:pt>
                <c:pt idx="127">
                  <c:v>512</c:v>
                </c:pt>
                <c:pt idx="128">
                  <c:v>516</c:v>
                </c:pt>
                <c:pt idx="129">
                  <c:v>520</c:v>
                </c:pt>
                <c:pt idx="130">
                  <c:v>524</c:v>
                </c:pt>
                <c:pt idx="131">
                  <c:v>528</c:v>
                </c:pt>
                <c:pt idx="132">
                  <c:v>532</c:v>
                </c:pt>
                <c:pt idx="133">
                  <c:v>536</c:v>
                </c:pt>
                <c:pt idx="134">
                  <c:v>540</c:v>
                </c:pt>
                <c:pt idx="135">
                  <c:v>544</c:v>
                </c:pt>
                <c:pt idx="136">
                  <c:v>548</c:v>
                </c:pt>
                <c:pt idx="137">
                  <c:v>552</c:v>
                </c:pt>
                <c:pt idx="138">
                  <c:v>556</c:v>
                </c:pt>
                <c:pt idx="139">
                  <c:v>560</c:v>
                </c:pt>
                <c:pt idx="140">
                  <c:v>564</c:v>
                </c:pt>
                <c:pt idx="141">
                  <c:v>568</c:v>
                </c:pt>
                <c:pt idx="142">
                  <c:v>572</c:v>
                </c:pt>
                <c:pt idx="143">
                  <c:v>576</c:v>
                </c:pt>
                <c:pt idx="144">
                  <c:v>580</c:v>
                </c:pt>
                <c:pt idx="145">
                  <c:v>584</c:v>
                </c:pt>
                <c:pt idx="146">
                  <c:v>588</c:v>
                </c:pt>
                <c:pt idx="147">
                  <c:v>592</c:v>
                </c:pt>
                <c:pt idx="148">
                  <c:v>596</c:v>
                </c:pt>
                <c:pt idx="149">
                  <c:v>600</c:v>
                </c:pt>
              </c:numCache>
            </c:numRef>
          </c:xVal>
          <c:yVal>
            <c:numRef>
              <c:f>'Time to get to end'!$M$5:$M$154</c:f>
              <c:numCache>
                <c:formatCode>0.00</c:formatCode>
                <c:ptCount val="150"/>
                <c:pt idx="0">
                  <c:v>2.509109068888889E-2</c:v>
                </c:pt>
                <c:pt idx="1">
                  <c:v>5.0350577959582407E-2</c:v>
                </c:pt>
                <c:pt idx="2">
                  <c:v>7.5780737441564383E-2</c:v>
                </c:pt>
                <c:pt idx="3">
                  <c:v>0.10138389120573672</c:v>
                </c:pt>
                <c:pt idx="4">
                  <c:v>0.12716240903678694</c:v>
                </c:pt>
                <c:pt idx="5">
                  <c:v>0.15311870974943062</c:v>
                </c:pt>
                <c:pt idx="6">
                  <c:v>0.17925526255035654</c:v>
                </c:pt>
                <c:pt idx="7">
                  <c:v>0.20557458844779244</c:v>
                </c:pt>
                <c:pt idx="8">
                  <c:v>0.23207926171070326</c:v>
                </c:pt>
                <c:pt idx="9">
                  <c:v>0.25877191137973399</c:v>
                </c:pt>
                <c:pt idx="10">
                  <c:v>0.28565522283211492</c:v>
                </c:pt>
                <c:pt idx="11">
                  <c:v>0.31273193940285832</c:v>
                </c:pt>
                <c:pt idx="12">
                  <c:v>0.34000486406469405</c:v>
                </c:pt>
                <c:pt idx="13">
                  <c:v>0.36747686116931694</c:v>
                </c:pt>
                <c:pt idx="14">
                  <c:v>0.39515085825265028</c:v>
                </c:pt>
                <c:pt idx="15">
                  <c:v>0.42302984790697129</c:v>
                </c:pt>
                <c:pt idx="16">
                  <c:v>0.45111688972289171</c:v>
                </c:pt>
                <c:pt idx="17">
                  <c:v>0.47941511230434536</c:v>
                </c:pt>
                <c:pt idx="18">
                  <c:v>0.50792771535990089</c:v>
                </c:pt>
                <c:pt idx="19">
                  <c:v>0.53665797187389574</c:v>
                </c:pt>
                <c:pt idx="20">
                  <c:v>0.56560923036107524</c:v>
                </c:pt>
                <c:pt idx="21">
                  <c:v>0.59478491720862048</c:v>
                </c:pt>
                <c:pt idx="22">
                  <c:v>0.6241885391096621</c:v>
                </c:pt>
                <c:pt idx="23">
                  <c:v>0.65382368559260173</c:v>
                </c:pt>
                <c:pt idx="24">
                  <c:v>0.68369403165080278</c:v>
                </c:pt>
                <c:pt idx="25">
                  <c:v>0.71380334047746941</c:v>
                </c:pt>
                <c:pt idx="26">
                  <c:v>0.74415546631080276</c:v>
                </c:pt>
                <c:pt idx="27">
                  <c:v>0.77475435739481358</c:v>
                </c:pt>
                <c:pt idx="28">
                  <c:v>0.80560405906148025</c:v>
                </c:pt>
                <c:pt idx="29">
                  <c:v>0.83670871694026816</c:v>
                </c:pt>
                <c:pt idx="30">
                  <c:v>0.86807258030137924</c:v>
                </c:pt>
                <c:pt idx="31">
                  <c:v>0.89970000553947449</c:v>
                </c:pt>
                <c:pt idx="32">
                  <c:v>0.93159545980501124</c:v>
                </c:pt>
                <c:pt idx="33">
                  <c:v>0.96376352479076621</c:v>
                </c:pt>
                <c:pt idx="34">
                  <c:v>0.99620890068157086</c:v>
                </c:pt>
                <c:pt idx="35">
                  <c:v>1.0289364102757739</c:v>
                </c:pt>
                <c:pt idx="36">
                  <c:v>1.0619510032874697</c:v>
                </c:pt>
                <c:pt idx="37">
                  <c:v>1.0952577608390921</c:v>
                </c:pt>
                <c:pt idx="38">
                  <c:v>1.1288619001545683</c:v>
                </c:pt>
                <c:pt idx="39">
                  <c:v>1.1627687794638777</c:v>
                </c:pt>
                <c:pt idx="40">
                  <c:v>1.1969839031305443</c:v>
                </c:pt>
                <c:pt idx="41">
                  <c:v>1.2315129270143363</c:v>
                </c:pt>
                <c:pt idx="42">
                  <c:v>1.2663616640822375</c:v>
                </c:pt>
                <c:pt idx="43">
                  <c:v>1.3015360902816144</c:v>
                </c:pt>
                <c:pt idx="44">
                  <c:v>1.3370423506904194</c:v>
                </c:pt>
                <c:pt idx="45">
                  <c:v>1.3728867659602606</c:v>
                </c:pt>
                <c:pt idx="46">
                  <c:v>1.4090758390692351</c:v>
                </c:pt>
                <c:pt idx="47">
                  <c:v>1.4456162624025684</c:v>
                </c:pt>
                <c:pt idx="48">
                  <c:v>1.4825149251803462</c:v>
                </c:pt>
                <c:pt idx="49">
                  <c:v>1.5197789212529536</c:v>
                </c:pt>
                <c:pt idx="50">
                  <c:v>1.5574155572862869</c:v>
                </c:pt>
                <c:pt idx="51">
                  <c:v>1.5954323613603609</c:v>
                </c:pt>
                <c:pt idx="52">
                  <c:v>1.6338370920066194</c:v>
                </c:pt>
                <c:pt idx="53">
                  <c:v>1.6726377477110868</c:v>
                </c:pt>
                <c:pt idx="54">
                  <c:v>1.7118425769124757</c:v>
                </c:pt>
                <c:pt idx="55">
                  <c:v>1.7514600885265108</c:v>
                </c:pt>
                <c:pt idx="56">
                  <c:v>1.7914990630300569</c:v>
                </c:pt>
                <c:pt idx="57">
                  <c:v>1.831968564141168</c:v>
                </c:pt>
                <c:pt idx="58">
                  <c:v>1.8728779511339217</c:v>
                </c:pt>
                <c:pt idx="59">
                  <c:v>1.9142368918298924</c:v>
                </c:pt>
                <c:pt idx="60">
                  <c:v>1.9560553763113739</c:v>
                </c:pt>
                <c:pt idx="61">
                  <c:v>1.998343731405007</c:v>
                </c:pt>
                <c:pt idx="62">
                  <c:v>2.0411126359883403</c:v>
                </c:pt>
                <c:pt idx="63">
                  <c:v>2.0843731371760796</c:v>
                </c:pt>
                <c:pt idx="64">
                  <c:v>2.1281366674473974</c:v>
                </c:pt>
                <c:pt idx="65">
                  <c:v>2.1724150627807308</c:v>
                </c:pt>
                <c:pt idx="66">
                  <c:v>2.2172205818680326</c:v>
                </c:pt>
                <c:pt idx="67">
                  <c:v>2.2625659264865066</c:v>
                </c:pt>
                <c:pt idx="68">
                  <c:v>2.3084642631125227</c:v>
                </c:pt>
                <c:pt idx="69">
                  <c:v>2.3549292458697244</c:v>
                </c:pt>
                <c:pt idx="70">
                  <c:v>2.4019750409113909</c:v>
                </c:pt>
                <c:pt idx="71">
                  <c:v>2.44961635234599</c:v>
                </c:pt>
                <c:pt idx="72">
                  <c:v>2.4978684498246224</c:v>
                </c:pt>
                <c:pt idx="73">
                  <c:v>2.5467471979198604</c:v>
                </c:pt>
                <c:pt idx="74">
                  <c:v>2.5962690874374044</c:v>
                </c:pt>
                <c:pt idx="75">
                  <c:v>2.646451268815182</c:v>
                </c:pt>
                <c:pt idx="76">
                  <c:v>2.6973115877791458</c:v>
                </c:pt>
                <c:pt idx="77">
                  <c:v>2.7488686234412461</c:v>
                </c:pt>
                <c:pt idx="78">
                  <c:v>2.8011417290430978</c:v>
                </c:pt>
                <c:pt idx="79">
                  <c:v>2.8541510755689194</c:v>
                </c:pt>
                <c:pt idx="80">
                  <c:v>2.9079176984736814</c:v>
                </c:pt>
                <c:pt idx="81">
                  <c:v>2.9624635477973529</c:v>
                </c:pt>
                <c:pt idx="82">
                  <c:v>3.0178115419640195</c:v>
                </c:pt>
                <c:pt idx="83">
                  <c:v>3.0739856255958604</c:v>
                </c:pt>
                <c:pt idx="84">
                  <c:v>3.1310108317069716</c:v>
                </c:pt>
                <c:pt idx="85">
                  <c:v>3.1889133486813304</c:v>
                </c:pt>
                <c:pt idx="86">
                  <c:v>3.2477205924834136</c:v>
                </c:pt>
                <c:pt idx="87">
                  <c:v>3.3074612845998157</c:v>
                </c:pt>
                <c:pt idx="88">
                  <c:v>3.3681655362664822</c:v>
                </c:pt>
                <c:pt idx="89">
                  <c:v>3.4298649395998155</c:v>
                </c:pt>
                <c:pt idx="90">
                  <c:v>3.4925926663220377</c:v>
                </c:pt>
                <c:pt idx="91">
                  <c:v>3.5563835748531112</c:v>
                </c:pt>
                <c:pt idx="92">
                  <c:v>3.6212743266347203</c:v>
                </c:pt>
                <c:pt idx="93">
                  <c:v>3.687303512658112</c:v>
                </c:pt>
                <c:pt idx="94">
                  <c:v>3.7545117912890644</c:v>
                </c:pt>
                <c:pt idx="95">
                  <c:v>3.8229420386223976</c:v>
                </c:pt>
                <c:pt idx="96">
                  <c:v>3.8926395127581999</c:v>
                </c:pt>
                <c:pt idx="97">
                  <c:v>3.9636520335758099</c:v>
                </c:pt>
                <c:pt idx="98">
                  <c:v>4.0360301797937588</c:v>
                </c:pt>
                <c:pt idx="99">
                  <c:v>4.1098275053493145</c:v>
                </c:pt>
                <c:pt idx="100">
                  <c:v>4.1851007774159807</c:v>
                </c:pt>
                <c:pt idx="101">
                  <c:v>4.2619102387084977</c:v>
                </c:pt>
                <c:pt idx="102">
                  <c:v>4.3403198971112751</c:v>
                </c:pt>
                <c:pt idx="103">
                  <c:v>4.4203978461183677</c:v>
                </c:pt>
                <c:pt idx="104">
                  <c:v>4.5022166201038747</c:v>
                </c:pt>
                <c:pt idx="105">
                  <c:v>4.5858535890668373</c:v>
                </c:pt>
                <c:pt idx="106">
                  <c:v>4.6713913982335038</c:v>
                </c:pt>
                <c:pt idx="107">
                  <c:v>4.7589184587761393</c:v>
                </c:pt>
                <c:pt idx="108">
                  <c:v>4.8485294969507429</c:v>
                </c:pt>
                <c:pt idx="109">
                  <c:v>4.9403261702027752</c:v>
                </c:pt>
                <c:pt idx="110">
                  <c:v>5.0344177602861082</c:v>
                </c:pt>
                <c:pt idx="111">
                  <c:v>5.1309219552433731</c:v>
                </c:pt>
                <c:pt idx="112">
                  <c:v>5.2299657342784611</c:v>
                </c:pt>
                <c:pt idx="113">
                  <c:v>5.3316863722063887</c:v>
                </c:pt>
                <c:pt idx="114">
                  <c:v>5.4362325834100922</c:v>
                </c:pt>
                <c:pt idx="115">
                  <c:v>5.5437658292196161</c:v>
                </c:pt>
                <c:pt idx="116">
                  <c:v>5.6544618175529493</c:v>
                </c:pt>
                <c:pt idx="117">
                  <c:v>5.7685122297751716</c:v>
                </c:pt>
                <c:pt idx="118">
                  <c:v>5.8861267173793381</c:v>
                </c:pt>
                <c:pt idx="119">
                  <c:v>6.0075352207126711</c:v>
                </c:pt>
                <c:pt idx="120">
                  <c:v>6.1329906741571154</c:v>
                </c:pt>
                <c:pt idx="121">
                  <c:v>6.2627721777203336</c:v>
                </c:pt>
                <c:pt idx="122">
                  <c:v>6.3971887349822385</c:v>
                </c:pt>
                <c:pt idx="123">
                  <c:v>6.5365836832538431</c:v>
                </c:pt>
                <c:pt idx="124">
                  <c:v>6.6813399756897409</c:v>
                </c:pt>
                <c:pt idx="125">
                  <c:v>6.8318865198230743</c:v>
                </c:pt>
                <c:pt idx="126">
                  <c:v>6.9887058366286299</c:v>
                </c:pt>
                <c:pt idx="127">
                  <c:v>7.1523433845996447</c:v>
                </c:pt>
                <c:pt idx="128">
                  <c:v>7.3234190029329778</c:v>
                </c:pt>
                <c:pt idx="129">
                  <c:v>7.502641079282184</c:v>
                </c:pt>
                <c:pt idx="130">
                  <c:v>7.690824259448851</c:v>
                </c:pt>
                <c:pt idx="131">
                  <c:v>7.888911817519026</c:v>
                </c:pt>
                <c:pt idx="132">
                  <c:v>8.0980042399264338</c:v>
                </c:pt>
                <c:pt idx="133">
                  <c:v>8.3193962165931001</c:v>
                </c:pt>
                <c:pt idx="134">
                  <c:v>8.5546251918014331</c:v>
                </c:pt>
                <c:pt idx="135">
                  <c:v>8.8055360986903217</c:v>
                </c:pt>
                <c:pt idx="136">
                  <c:v>9.0743692132141316</c:v>
                </c:pt>
                <c:pt idx="137">
                  <c:v>9.3638817980859272</c:v>
                </c:pt>
                <c:pt idx="138">
                  <c:v>9.6775204316970385</c:v>
                </c:pt>
                <c:pt idx="139">
                  <c:v>10.019671668363705</c:v>
                </c:pt>
                <c:pt idx="140">
                  <c:v>10.396038028697038</c:v>
                </c:pt>
                <c:pt idx="141">
                  <c:v>10.814222873511854</c:v>
                </c:pt>
                <c:pt idx="142">
                  <c:v>11.28468082392852</c:v>
                </c:pt>
                <c:pt idx="143">
                  <c:v>11.82234705297614</c:v>
                </c:pt>
                <c:pt idx="144">
                  <c:v>12.449624320198362</c:v>
                </c:pt>
                <c:pt idx="145">
                  <c:v>13.202357040865028</c:v>
                </c:pt>
                <c:pt idx="146">
                  <c:v>14.143272941698362</c:v>
                </c:pt>
                <c:pt idx="147">
                  <c:v>15.397827476142806</c:v>
                </c:pt>
                <c:pt idx="148">
                  <c:v>17.279659277809472</c:v>
                </c:pt>
                <c:pt idx="149">
                  <c:v>21.043322881142807</c:v>
                </c:pt>
              </c:numCache>
            </c:numRef>
          </c:yVal>
          <c:smooth val="1"/>
          <c:extLst>
            <c:ext xmlns:c16="http://schemas.microsoft.com/office/drawing/2014/chart" uri="{C3380CC4-5D6E-409C-BE32-E72D297353CC}">
              <c16:uniqueId val="{00000001-CE47-4682-BE25-13CB49556090}"/>
            </c:ext>
          </c:extLst>
        </c:ser>
        <c:dLbls>
          <c:showLegendKey val="0"/>
          <c:showVal val="0"/>
          <c:showCatName val="0"/>
          <c:showSerName val="0"/>
          <c:showPercent val="0"/>
          <c:showBubbleSize val="0"/>
        </c:dLbls>
        <c:axId val="1109811823"/>
        <c:axId val="1"/>
      </c:scatterChart>
      <c:valAx>
        <c:axId val="1109811823"/>
        <c:scaling>
          <c:orientation val="minMax"/>
        </c:scaling>
        <c:delete val="0"/>
        <c:axPos val="b"/>
        <c:title>
          <c:tx>
            <c:rich>
              <a:bodyPr/>
              <a:lstStyle/>
              <a:p>
                <a:pPr>
                  <a:defRPr sz="1825" b="1" i="0" u="none" strike="noStrike" baseline="0">
                    <a:solidFill>
                      <a:srgbClr val="000000"/>
                    </a:solidFill>
                    <a:latin typeface="Arial"/>
                    <a:ea typeface="Arial"/>
                    <a:cs typeface="Arial"/>
                  </a:defRPr>
                </a:pPr>
                <a:r>
                  <a:rPr lang="en-US"/>
                  <a:t>Distance Along Hose (ft)</a:t>
                </a:r>
              </a:p>
            </c:rich>
          </c:tx>
          <c:layout>
            <c:manualLayout>
              <c:xMode val="edge"/>
              <c:yMode val="edge"/>
              <c:x val="0.3534199773323789"/>
              <c:y val="0.8885248382853745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825" b="1" i="0" u="none" strike="noStrike" baseline="0">
                <a:solidFill>
                  <a:srgbClr val="000000"/>
                </a:solidFill>
                <a:latin typeface="Arial"/>
                <a:ea typeface="Arial"/>
                <a:cs typeface="Arial"/>
              </a:defRPr>
            </a:pPr>
            <a:endParaRPr lang="en-US"/>
          </a:p>
        </c:txPr>
        <c:crossAx val="1"/>
        <c:crosses val="autoZero"/>
        <c:crossBetween val="midCat"/>
      </c:valAx>
      <c:valAx>
        <c:axId val="1"/>
        <c:scaling>
          <c:orientation val="minMax"/>
        </c:scaling>
        <c:delete val="0"/>
        <c:axPos val="l"/>
        <c:majorGridlines>
          <c:spPr>
            <a:ln w="3175">
              <a:solidFill>
                <a:srgbClr val="000000"/>
              </a:solidFill>
              <a:prstDash val="solid"/>
            </a:ln>
          </c:spPr>
        </c:majorGridlines>
        <c:title>
          <c:tx>
            <c:rich>
              <a:bodyPr/>
              <a:lstStyle/>
              <a:p>
                <a:pPr>
                  <a:defRPr sz="1825" b="1" i="0" u="none" strike="noStrike" baseline="0">
                    <a:solidFill>
                      <a:srgbClr val="000000"/>
                    </a:solidFill>
                    <a:latin typeface="Arial"/>
                    <a:ea typeface="Arial"/>
                    <a:cs typeface="Arial"/>
                  </a:defRPr>
                </a:pPr>
                <a:r>
                  <a:rPr lang="en-US"/>
                  <a:t>Time (min)</a:t>
                </a:r>
              </a:p>
            </c:rich>
          </c:tx>
          <c:layout>
            <c:manualLayout>
              <c:xMode val="edge"/>
              <c:yMode val="edge"/>
              <c:x val="7.95484371271773E-3"/>
              <c:y val="0.3681536604263139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825" b="1" i="0" u="none" strike="noStrike" baseline="0">
                <a:solidFill>
                  <a:srgbClr val="000000"/>
                </a:solidFill>
                <a:latin typeface="Arial"/>
                <a:ea typeface="Arial"/>
                <a:cs typeface="Arial"/>
              </a:defRPr>
            </a:pPr>
            <a:endParaRPr lang="en-US"/>
          </a:p>
        </c:txPr>
        <c:crossAx val="1109811823"/>
        <c:crosses val="autoZero"/>
        <c:crossBetween val="midCat"/>
      </c:valAx>
      <c:spPr>
        <a:noFill/>
        <a:ln w="12700">
          <a:solidFill>
            <a:srgbClr val="808080"/>
          </a:solidFill>
          <a:prstDash val="solid"/>
        </a:ln>
      </c:spPr>
    </c:plotArea>
    <c:legend>
      <c:legendPos val="r"/>
      <c:layout>
        <c:manualLayout>
          <c:xMode val="edge"/>
          <c:yMode val="edge"/>
          <c:x val="0.14394382419507482"/>
          <c:y val="0.24728601130732511"/>
          <c:w val="0.29925163451081344"/>
          <c:h val="0.1570810512077977"/>
        </c:manualLayout>
      </c:layout>
      <c:overlay val="0"/>
      <c:spPr>
        <a:solidFill>
          <a:srgbClr val="FFFFFF"/>
        </a:solidFill>
        <a:ln w="3175">
          <a:solidFill>
            <a:srgbClr val="000000"/>
          </a:solidFill>
          <a:prstDash val="solid"/>
        </a:ln>
      </c:spPr>
      <c:txPr>
        <a:bodyPr/>
        <a:lstStyle/>
        <a:p>
          <a:pPr>
            <a:defRPr sz="1655" b="1"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1800" b="1"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3" Type="http://schemas.openxmlformats.org/officeDocument/2006/relationships/image" Target="../media/image7.emf"/><Relationship Id="rId2" Type="http://schemas.openxmlformats.org/officeDocument/2006/relationships/image" Target="../media/image6.emf"/><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5.emf"/></Relationships>
</file>

<file path=xl/drawings/_rels/drawing6.xml.rels><?xml version="1.0" encoding="UTF-8" standalone="yes"?>
<Relationships xmlns="http://schemas.openxmlformats.org/package/2006/relationships"><Relationship Id="rId3" Type="http://schemas.openxmlformats.org/officeDocument/2006/relationships/image" Target="../media/image15.emf"/><Relationship Id="rId2" Type="http://schemas.openxmlformats.org/officeDocument/2006/relationships/image" Target="../media/image14.emf"/><Relationship Id="rId1" Type="http://schemas.openxmlformats.org/officeDocument/2006/relationships/image" Target="../media/image13.emf"/></Relationships>
</file>

<file path=xl/drawings/_rels/drawing7.xml.rels><?xml version="1.0" encoding="UTF-8" standalone="yes"?>
<Relationships xmlns="http://schemas.openxmlformats.org/package/2006/relationships"><Relationship Id="rId2" Type="http://schemas.openxmlformats.org/officeDocument/2006/relationships/image" Target="../media/image19.emf"/><Relationship Id="rId1" Type="http://schemas.openxmlformats.org/officeDocument/2006/relationships/image" Target="../media/image7.emf"/></Relationships>
</file>

<file path=xl/drawings/_rels/drawing9.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3" Type="http://schemas.openxmlformats.org/officeDocument/2006/relationships/image" Target="../media/image10.emf"/><Relationship Id="rId2" Type="http://schemas.openxmlformats.org/officeDocument/2006/relationships/image" Target="../media/image9.emf"/><Relationship Id="rId1" Type="http://schemas.openxmlformats.org/officeDocument/2006/relationships/image" Target="../media/image8.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8.emf"/></Relationships>
</file>

<file path=xl/drawings/_rels/vmlDrawing5.vml.rels><?xml version="1.0" encoding="UTF-8" standalone="yes"?>
<Relationships xmlns="http://schemas.openxmlformats.org/package/2006/relationships"><Relationship Id="rId3" Type="http://schemas.openxmlformats.org/officeDocument/2006/relationships/image" Target="../media/image18.emf"/><Relationship Id="rId2" Type="http://schemas.openxmlformats.org/officeDocument/2006/relationships/image" Target="../media/image17.emf"/><Relationship Id="rId1" Type="http://schemas.openxmlformats.org/officeDocument/2006/relationships/image" Target="../media/image16.emf"/></Relationships>
</file>

<file path=xl/drawings/_rels/vmlDrawing6.vml.rels><?xml version="1.0" encoding="UTF-8" standalone="yes"?>
<Relationships xmlns="http://schemas.openxmlformats.org/package/2006/relationships"><Relationship Id="rId2" Type="http://schemas.openxmlformats.org/officeDocument/2006/relationships/image" Target="../media/image20.emf"/><Relationship Id="rId1" Type="http://schemas.openxmlformats.org/officeDocument/2006/relationships/image" Target="../media/image10.emf"/></Relationships>
</file>

<file path=xl/drawings/drawing1.xml><?xml version="1.0" encoding="utf-8"?>
<xdr:wsDr xmlns:xdr="http://schemas.openxmlformats.org/drawingml/2006/spreadsheetDrawing" xmlns:a="http://schemas.openxmlformats.org/drawingml/2006/main">
  <xdr:twoCellAnchor>
    <xdr:from>
      <xdr:col>3</xdr:col>
      <xdr:colOff>60960</xdr:colOff>
      <xdr:row>15</xdr:row>
      <xdr:rowOff>68580</xdr:rowOff>
    </xdr:from>
    <xdr:to>
      <xdr:col>8</xdr:col>
      <xdr:colOff>554979</xdr:colOff>
      <xdr:row>17</xdr:row>
      <xdr:rowOff>114300</xdr:rowOff>
    </xdr:to>
    <xdr:sp macro="" textlink="">
      <xdr:nvSpPr>
        <xdr:cNvPr id="1025" name="Text Box 1">
          <a:extLst>
            <a:ext uri="{FF2B5EF4-FFF2-40B4-BE49-F238E27FC236}">
              <a16:creationId xmlns:a16="http://schemas.microsoft.com/office/drawing/2014/main" id="{600B2B27-2198-4C0E-1194-9D3971FF4AEC}"/>
            </a:ext>
          </a:extLst>
        </xdr:cNvPr>
        <xdr:cNvSpPr txBox="1">
          <a:spLocks noChangeArrowheads="1"/>
        </xdr:cNvSpPr>
      </xdr:nvSpPr>
      <xdr:spPr bwMode="auto">
        <a:xfrm>
          <a:off x="2369820" y="2689860"/>
          <a:ext cx="3573780" cy="449580"/>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32004" rIns="27432" bIns="0" anchor="t" upright="1"/>
        <a:lstStyle/>
        <a:p>
          <a:pPr algn="ctr" rtl="0">
            <a:defRPr sz="1000"/>
          </a:pPr>
          <a:r>
            <a:rPr lang="en-US" sz="1200" b="1" i="0" u="none" strike="noStrike" baseline="30000">
              <a:solidFill>
                <a:srgbClr val="000000"/>
              </a:solidFill>
              <a:latin typeface="Arial"/>
              <a:cs typeface="Arial"/>
            </a:rPr>
            <a:t>1</a:t>
          </a:r>
          <a:r>
            <a:rPr lang="en-US" sz="1200" b="1" i="0" u="none" strike="noStrike" baseline="0">
              <a:solidFill>
                <a:srgbClr val="000000"/>
              </a:solidFill>
              <a:latin typeface="Arial"/>
              <a:cs typeface="Arial"/>
            </a:rPr>
            <a:t>Irrigation Time to Refill &amp; Moisture Reserve of</a:t>
          </a:r>
        </a:p>
        <a:p>
          <a:pPr algn="ctr" rtl="0">
            <a:defRPr sz="1000"/>
          </a:pPr>
          <a:r>
            <a:rPr lang="en-US" sz="1200" b="1" i="0" u="none" strike="noStrike" baseline="0">
              <a:solidFill>
                <a:srgbClr val="000000"/>
              </a:solidFill>
              <a:latin typeface="Arial"/>
              <a:cs typeface="Arial"/>
            </a:rPr>
            <a:t> 4 Foot Wetted Rootzone @ 50% Available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82550</xdr:colOff>
      <xdr:row>17</xdr:row>
      <xdr:rowOff>91440</xdr:rowOff>
    </xdr:from>
    <xdr:to>
      <xdr:col>8</xdr:col>
      <xdr:colOff>579759</xdr:colOff>
      <xdr:row>18</xdr:row>
      <xdr:rowOff>153684</xdr:rowOff>
    </xdr:to>
    <xdr:sp macro="" textlink="">
      <xdr:nvSpPr>
        <xdr:cNvPr id="3073" name="Text Box 1">
          <a:extLst>
            <a:ext uri="{FF2B5EF4-FFF2-40B4-BE49-F238E27FC236}">
              <a16:creationId xmlns:a16="http://schemas.microsoft.com/office/drawing/2014/main" id="{36A9D28A-8685-18B4-E7FE-EC54A0E32B7E}"/>
            </a:ext>
          </a:extLst>
        </xdr:cNvPr>
        <xdr:cNvSpPr txBox="1">
          <a:spLocks noChangeArrowheads="1"/>
        </xdr:cNvSpPr>
      </xdr:nvSpPr>
      <xdr:spPr bwMode="auto">
        <a:xfrm>
          <a:off x="2506980" y="4663440"/>
          <a:ext cx="3802380" cy="579120"/>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32004" rIns="27432" bIns="0" anchor="t" upright="1"/>
        <a:lstStyle/>
        <a:p>
          <a:pPr algn="ctr" rtl="0">
            <a:defRPr sz="1000"/>
          </a:pPr>
          <a:r>
            <a:rPr lang="en-US" sz="1200" b="1" i="0" u="none" strike="noStrike" baseline="30000">
              <a:solidFill>
                <a:srgbClr val="000000"/>
              </a:solidFill>
              <a:latin typeface="Arial"/>
              <a:cs typeface="Arial"/>
            </a:rPr>
            <a:t>1</a:t>
          </a:r>
          <a:r>
            <a:rPr lang="en-US" sz="1200" b="1" i="0" u="none" strike="noStrike" baseline="0">
              <a:solidFill>
                <a:srgbClr val="000000"/>
              </a:solidFill>
              <a:latin typeface="Arial"/>
              <a:cs typeface="Arial"/>
            </a:rPr>
            <a:t>Irrigation Time to Refill &amp; Moisture Reserve of</a:t>
          </a:r>
        </a:p>
        <a:p>
          <a:pPr algn="ctr" rtl="0">
            <a:defRPr sz="1000"/>
          </a:pPr>
          <a:r>
            <a:rPr lang="en-US" sz="1200" b="1" i="0" u="none" strike="noStrike" baseline="0">
              <a:solidFill>
                <a:srgbClr val="000000"/>
              </a:solidFill>
              <a:latin typeface="Arial"/>
              <a:cs typeface="Arial"/>
            </a:rPr>
            <a:t>4 Foot Wetted Rootzone @ 50% to 100% Available</a:t>
          </a:r>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1</xdr:row>
          <xdr:rowOff>95250</xdr:rowOff>
        </xdr:from>
        <xdr:to>
          <xdr:col>8</xdr:col>
          <xdr:colOff>501650</xdr:colOff>
          <xdr:row>15</xdr:row>
          <xdr:rowOff>958850</xdr:rowOff>
        </xdr:to>
        <xdr:pic>
          <xdr:nvPicPr>
            <xdr:cNvPr id="3595" name="Picture 2">
              <a:extLst>
                <a:ext uri="{FF2B5EF4-FFF2-40B4-BE49-F238E27FC236}">
                  <a16:creationId xmlns:a16="http://schemas.microsoft.com/office/drawing/2014/main" id="{94358D4C-A2BC-D321-F2C2-25C89A354516}"/>
                </a:ext>
              </a:extLst>
            </xdr:cNvPr>
            <xdr:cNvPicPr>
              <a:picLocks noChangeAspect="1" noChangeArrowheads="1"/>
              <a:extLst>
                <a:ext uri="{84589F7E-364E-4C9E-8A38-B11213B215E9}">
                  <a14:cameraTool cellRange="$J$4:$O$16" spid="_x0000_s3602"/>
                </a:ext>
              </a:extLst>
            </xdr:cNvPicPr>
          </xdr:nvPicPr>
          <xdr:blipFill>
            <a:blip xmlns:r="http://schemas.openxmlformats.org/officeDocument/2006/relationships" r:embed="rId1"/>
            <a:srcRect/>
            <a:stretch>
              <a:fillRect/>
            </a:stretch>
          </xdr:blipFill>
          <xdr:spPr bwMode="auto">
            <a:xfrm>
              <a:off x="152400" y="254000"/>
              <a:ext cx="6235700" cy="41211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0</xdr:col>
      <xdr:colOff>38100</xdr:colOff>
      <xdr:row>17</xdr:row>
      <xdr:rowOff>38100</xdr:rowOff>
    </xdr:from>
    <xdr:to>
      <xdr:col>2</xdr:col>
      <xdr:colOff>662322</xdr:colOff>
      <xdr:row>18</xdr:row>
      <xdr:rowOff>43883</xdr:rowOff>
    </xdr:to>
    <xdr:sp macro="" textlink="">
      <xdr:nvSpPr>
        <xdr:cNvPr id="3075" name="Text Box 3">
          <a:extLst>
            <a:ext uri="{FF2B5EF4-FFF2-40B4-BE49-F238E27FC236}">
              <a16:creationId xmlns:a16="http://schemas.microsoft.com/office/drawing/2014/main" id="{B2B03889-2713-AC35-2344-43AC91BA4A3B}"/>
            </a:ext>
          </a:extLst>
        </xdr:cNvPr>
        <xdr:cNvSpPr txBox="1">
          <a:spLocks noChangeArrowheads="1"/>
        </xdr:cNvSpPr>
      </xdr:nvSpPr>
      <xdr:spPr bwMode="auto">
        <a:xfrm>
          <a:off x="38100" y="4610100"/>
          <a:ext cx="2369820" cy="525780"/>
        </a:xfrm>
        <a:prstGeom prst="rect">
          <a:avLst/>
        </a:prstGeom>
        <a:solidFill>
          <a:srgbClr val="FFFFFF"/>
        </a:solidFill>
        <a:ln w="9525">
          <a:solidFill>
            <a:srgbClr val="000000"/>
          </a:solidFill>
          <a:miter lim="800000"/>
          <a:headEnd/>
          <a:tailEnd/>
        </a:ln>
      </xdr:spPr>
      <xdr:txBody>
        <a:bodyPr vertOverflow="clip" wrap="square" lIns="0" tIns="45720" rIns="0" bIns="45720" anchor="ctr" upright="1"/>
        <a:lstStyle/>
        <a:p>
          <a:pPr algn="ctr" rtl="0">
            <a:defRPr sz="1000"/>
          </a:pPr>
          <a:r>
            <a:rPr lang="en-US" sz="1400" b="0" i="0" u="none" strike="noStrike" baseline="0">
              <a:solidFill>
                <a:srgbClr val="000000"/>
              </a:solidFill>
              <a:latin typeface="Times New Roman"/>
              <a:cs typeface="Times New Roman"/>
            </a:rPr>
            <a:t>Refill Times for Different Soil Textures and Micro Systems</a:t>
          </a:r>
        </a:p>
        <a:p>
          <a:pPr algn="ctr" rtl="0">
            <a:defRPr sz="1000"/>
          </a:pPr>
          <a:endParaRPr lang="en-US" sz="1400" b="0" i="0" u="none" strike="noStrike" baseline="0">
            <a:solidFill>
              <a:srgbClr val="000000"/>
            </a:solidFill>
            <a:latin typeface="Times New Roman"/>
            <a:cs typeface="Times New Roman"/>
          </a:endParaRPr>
        </a:p>
      </xdr:txBody>
    </xdr:sp>
    <xdr:clientData/>
  </xdr:twoCellAnchor>
  <xdr:twoCellAnchor>
    <xdr:from>
      <xdr:col>9</xdr:col>
      <xdr:colOff>920750</xdr:colOff>
      <xdr:row>27</xdr:row>
      <xdr:rowOff>171450</xdr:rowOff>
    </xdr:from>
    <xdr:to>
      <xdr:col>11</xdr:col>
      <xdr:colOff>241300</xdr:colOff>
      <xdr:row>34</xdr:row>
      <xdr:rowOff>190500</xdr:rowOff>
    </xdr:to>
    <xdr:sp macro="" textlink="">
      <xdr:nvSpPr>
        <xdr:cNvPr id="3597" name="Oval 6">
          <a:extLst>
            <a:ext uri="{FF2B5EF4-FFF2-40B4-BE49-F238E27FC236}">
              <a16:creationId xmlns:a16="http://schemas.microsoft.com/office/drawing/2014/main" id="{85A8F3A5-8C94-E55A-49BE-DB7252439102}"/>
            </a:ext>
          </a:extLst>
        </xdr:cNvPr>
        <xdr:cNvSpPr>
          <a:spLocks noChangeArrowheads="1"/>
        </xdr:cNvSpPr>
      </xdr:nvSpPr>
      <xdr:spPr bwMode="auto">
        <a:xfrm>
          <a:off x="7486650" y="7835900"/>
          <a:ext cx="1416050" cy="13017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438150</xdr:colOff>
      <xdr:row>27</xdr:row>
      <xdr:rowOff>171450</xdr:rowOff>
    </xdr:from>
    <xdr:to>
      <xdr:col>12</xdr:col>
      <xdr:colOff>0</xdr:colOff>
      <xdr:row>34</xdr:row>
      <xdr:rowOff>190500</xdr:rowOff>
    </xdr:to>
    <xdr:sp macro="" textlink="">
      <xdr:nvSpPr>
        <xdr:cNvPr id="3598" name="Oval 7">
          <a:extLst>
            <a:ext uri="{FF2B5EF4-FFF2-40B4-BE49-F238E27FC236}">
              <a16:creationId xmlns:a16="http://schemas.microsoft.com/office/drawing/2014/main" id="{B92C7050-819C-11FF-7512-48353F8F8E7E}"/>
            </a:ext>
          </a:extLst>
        </xdr:cNvPr>
        <xdr:cNvSpPr>
          <a:spLocks noChangeArrowheads="1"/>
        </xdr:cNvSpPr>
      </xdr:nvSpPr>
      <xdr:spPr bwMode="auto">
        <a:xfrm>
          <a:off x="8172450" y="7835900"/>
          <a:ext cx="1416050" cy="13017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425450</xdr:colOff>
      <xdr:row>29</xdr:row>
      <xdr:rowOff>133350</xdr:rowOff>
    </xdr:from>
    <xdr:to>
      <xdr:col>11</xdr:col>
      <xdr:colOff>247650</xdr:colOff>
      <xdr:row>33</xdr:row>
      <xdr:rowOff>82550</xdr:rowOff>
    </xdr:to>
    <xdr:sp macro="" textlink="">
      <xdr:nvSpPr>
        <xdr:cNvPr id="3599" name="Oval 8">
          <a:extLst>
            <a:ext uri="{FF2B5EF4-FFF2-40B4-BE49-F238E27FC236}">
              <a16:creationId xmlns:a16="http://schemas.microsoft.com/office/drawing/2014/main" id="{9507FA6C-672D-618E-8E95-FDB80F2CFA00}"/>
            </a:ext>
          </a:extLst>
        </xdr:cNvPr>
        <xdr:cNvSpPr>
          <a:spLocks noChangeArrowheads="1"/>
        </xdr:cNvSpPr>
      </xdr:nvSpPr>
      <xdr:spPr bwMode="auto">
        <a:xfrm>
          <a:off x="8159750" y="8172450"/>
          <a:ext cx="749300" cy="6985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xdr:col>
      <xdr:colOff>302260</xdr:colOff>
      <xdr:row>18</xdr:row>
      <xdr:rowOff>102235</xdr:rowOff>
    </xdr:from>
    <xdr:to>
      <xdr:col>8</xdr:col>
      <xdr:colOff>189242</xdr:colOff>
      <xdr:row>18</xdr:row>
      <xdr:rowOff>306318</xdr:rowOff>
    </xdr:to>
    <xdr:sp macro="" textlink="">
      <xdr:nvSpPr>
        <xdr:cNvPr id="3082" name="Text Box 10">
          <a:extLst>
            <a:ext uri="{FF2B5EF4-FFF2-40B4-BE49-F238E27FC236}">
              <a16:creationId xmlns:a16="http://schemas.microsoft.com/office/drawing/2014/main" id="{300381E8-4BD4-EB66-545E-A62AA3C580B9}"/>
            </a:ext>
          </a:extLst>
        </xdr:cNvPr>
        <xdr:cNvSpPr txBox="1">
          <a:spLocks noChangeArrowheads="1"/>
        </xdr:cNvSpPr>
      </xdr:nvSpPr>
      <xdr:spPr bwMode="auto">
        <a:xfrm>
          <a:off x="3383280" y="5181600"/>
          <a:ext cx="2545080" cy="213360"/>
        </a:xfrm>
        <a:prstGeom prst="rect">
          <a:avLst/>
        </a:prstGeom>
        <a:solidFill>
          <a:srgbClr val="FFFFFF"/>
        </a:solidFill>
        <a:ln w="9525">
          <a:solidFill>
            <a:srgbClr val="000000"/>
          </a:solidFill>
          <a:miter lim="800000"/>
          <a:headEnd/>
          <a:tailEnd/>
        </a:ln>
      </xdr:spPr>
      <xdr:txBody>
        <a:bodyPr vertOverflow="clip" wrap="square" lIns="0" tIns="0" rIns="0" bIns="0" anchor="ctr" upright="1"/>
        <a:lstStyle/>
        <a:p>
          <a:pPr algn="ctr" rtl="0">
            <a:defRPr sz="1000"/>
          </a:pPr>
          <a:r>
            <a:rPr lang="en-US" sz="1400" b="1" i="0" u="none" strike="noStrike" baseline="0">
              <a:solidFill>
                <a:srgbClr val="000000"/>
              </a:solidFill>
              <a:latin typeface="Times New Roman"/>
              <a:cs typeface="Times New Roman"/>
            </a:rPr>
            <a:t>ALMONDS 0.30 inch/day 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82550</xdr:colOff>
      <xdr:row>17</xdr:row>
      <xdr:rowOff>91440</xdr:rowOff>
    </xdr:from>
    <xdr:to>
      <xdr:col>8</xdr:col>
      <xdr:colOff>579759</xdr:colOff>
      <xdr:row>18</xdr:row>
      <xdr:rowOff>153684</xdr:rowOff>
    </xdr:to>
    <xdr:sp macro="" textlink="">
      <xdr:nvSpPr>
        <xdr:cNvPr id="2" name="Text Box 1">
          <a:extLst>
            <a:ext uri="{FF2B5EF4-FFF2-40B4-BE49-F238E27FC236}">
              <a16:creationId xmlns:a16="http://schemas.microsoft.com/office/drawing/2014/main" id="{A8F3EC5E-5843-FFFF-14CD-4697016E68D2}"/>
            </a:ext>
          </a:extLst>
        </xdr:cNvPr>
        <xdr:cNvSpPr txBox="1">
          <a:spLocks noChangeArrowheads="1"/>
        </xdr:cNvSpPr>
      </xdr:nvSpPr>
      <xdr:spPr bwMode="auto">
        <a:xfrm>
          <a:off x="2447925" y="4653915"/>
          <a:ext cx="3716650" cy="582930"/>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32004" rIns="27432" bIns="0" anchor="t" upright="1"/>
        <a:lstStyle/>
        <a:p>
          <a:pPr algn="ctr" rtl="0">
            <a:defRPr sz="1000"/>
          </a:pPr>
          <a:r>
            <a:rPr lang="en-US" sz="1200" b="1" i="0" u="none" strike="noStrike" baseline="30000">
              <a:solidFill>
                <a:srgbClr val="000000"/>
              </a:solidFill>
              <a:latin typeface="Arial"/>
              <a:cs typeface="Arial"/>
            </a:rPr>
            <a:t>1</a:t>
          </a:r>
          <a:r>
            <a:rPr lang="en-US" sz="1200" b="1" i="0" u="none" strike="noStrike" baseline="0">
              <a:solidFill>
                <a:srgbClr val="000000"/>
              </a:solidFill>
              <a:latin typeface="Arial"/>
              <a:cs typeface="Arial"/>
            </a:rPr>
            <a:t>Irrigation Time to Refill &amp; Moisture Reserve of</a:t>
          </a:r>
        </a:p>
        <a:p>
          <a:pPr algn="ctr" rtl="0">
            <a:defRPr sz="1000"/>
          </a:pPr>
          <a:r>
            <a:rPr lang="en-US" sz="1200" b="1" i="0" u="none" strike="noStrike" baseline="0">
              <a:solidFill>
                <a:srgbClr val="000000"/>
              </a:solidFill>
              <a:latin typeface="Arial"/>
              <a:cs typeface="Arial"/>
            </a:rPr>
            <a:t>4 Foot Wetted Rootzone @ 50% to 100% Available</a:t>
          </a:r>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1</xdr:row>
          <xdr:rowOff>95250</xdr:rowOff>
        </xdr:from>
        <xdr:to>
          <xdr:col>7</xdr:col>
          <xdr:colOff>641350</xdr:colOff>
          <xdr:row>15</xdr:row>
          <xdr:rowOff>762000</xdr:rowOff>
        </xdr:to>
        <xdr:pic>
          <xdr:nvPicPr>
            <xdr:cNvPr id="79932" name="Picture 2">
              <a:extLst>
                <a:ext uri="{FF2B5EF4-FFF2-40B4-BE49-F238E27FC236}">
                  <a16:creationId xmlns:a16="http://schemas.microsoft.com/office/drawing/2014/main" id="{2285BD84-F151-678A-98E2-45E0C26BE512}"/>
                </a:ext>
              </a:extLst>
            </xdr:cNvPr>
            <xdr:cNvPicPr>
              <a:picLocks noChangeAspect="1" noChangeArrowheads="1"/>
              <a:extLst>
                <a:ext uri="{84589F7E-364E-4C9E-8A38-B11213B215E9}">
                  <a14:cameraTool cellRange="$J$4:$O$16" spid="_x0000_s79939"/>
                </a:ext>
              </a:extLst>
            </xdr:cNvPicPr>
          </xdr:nvPicPr>
          <xdr:blipFill>
            <a:blip xmlns:r="http://schemas.openxmlformats.org/officeDocument/2006/relationships" r:embed="rId1"/>
            <a:srcRect/>
            <a:stretch>
              <a:fillRect/>
            </a:stretch>
          </xdr:blipFill>
          <xdr:spPr bwMode="auto">
            <a:xfrm>
              <a:off x="152400" y="254000"/>
              <a:ext cx="5695950" cy="392430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0</xdr:col>
      <xdr:colOff>38100</xdr:colOff>
      <xdr:row>17</xdr:row>
      <xdr:rowOff>38100</xdr:rowOff>
    </xdr:from>
    <xdr:to>
      <xdr:col>2</xdr:col>
      <xdr:colOff>662322</xdr:colOff>
      <xdr:row>18</xdr:row>
      <xdr:rowOff>43883</xdr:rowOff>
    </xdr:to>
    <xdr:sp macro="" textlink="">
      <xdr:nvSpPr>
        <xdr:cNvPr id="4" name="Text Box 3">
          <a:extLst>
            <a:ext uri="{FF2B5EF4-FFF2-40B4-BE49-F238E27FC236}">
              <a16:creationId xmlns:a16="http://schemas.microsoft.com/office/drawing/2014/main" id="{531A6ACB-CE0F-FD2A-E63D-0B85B577EFD4}"/>
            </a:ext>
          </a:extLst>
        </xdr:cNvPr>
        <xdr:cNvSpPr txBox="1">
          <a:spLocks noChangeArrowheads="1"/>
        </xdr:cNvSpPr>
      </xdr:nvSpPr>
      <xdr:spPr bwMode="auto">
        <a:xfrm>
          <a:off x="38100" y="4600575"/>
          <a:ext cx="2316472" cy="520133"/>
        </a:xfrm>
        <a:prstGeom prst="rect">
          <a:avLst/>
        </a:prstGeom>
        <a:solidFill>
          <a:srgbClr val="FFFFFF"/>
        </a:solidFill>
        <a:ln w="9525">
          <a:solidFill>
            <a:srgbClr val="000000"/>
          </a:solidFill>
          <a:miter lim="800000"/>
          <a:headEnd/>
          <a:tailEnd/>
        </a:ln>
      </xdr:spPr>
      <xdr:txBody>
        <a:bodyPr vertOverflow="clip" wrap="square" lIns="0" tIns="45720" rIns="0" bIns="45720" anchor="ctr" upright="1"/>
        <a:lstStyle/>
        <a:p>
          <a:pPr algn="ctr" rtl="0">
            <a:defRPr sz="1000"/>
          </a:pPr>
          <a:r>
            <a:rPr lang="en-US" sz="1400" b="0" i="0" u="none" strike="noStrike" baseline="0">
              <a:solidFill>
                <a:srgbClr val="000000"/>
              </a:solidFill>
              <a:latin typeface="Times New Roman"/>
              <a:cs typeface="Times New Roman"/>
            </a:rPr>
            <a:t>Refill Times for Different Soil Textures and Micro Systems</a:t>
          </a:r>
        </a:p>
        <a:p>
          <a:pPr algn="ctr" rtl="0">
            <a:defRPr sz="1000"/>
          </a:pPr>
          <a:endParaRPr lang="en-US" sz="1400" b="0" i="0" u="none" strike="noStrike" baseline="0">
            <a:solidFill>
              <a:srgbClr val="000000"/>
            </a:solidFill>
            <a:latin typeface="Times New Roman"/>
            <a:cs typeface="Times New Roman"/>
          </a:endParaRPr>
        </a:p>
      </xdr:txBody>
    </xdr:sp>
    <xdr:clientData/>
  </xdr:twoCellAnchor>
  <xdr:twoCellAnchor>
    <xdr:from>
      <xdr:col>9</xdr:col>
      <xdr:colOff>920750</xdr:colOff>
      <xdr:row>27</xdr:row>
      <xdr:rowOff>171450</xdr:rowOff>
    </xdr:from>
    <xdr:to>
      <xdr:col>11</xdr:col>
      <xdr:colOff>241300</xdr:colOff>
      <xdr:row>34</xdr:row>
      <xdr:rowOff>190500</xdr:rowOff>
    </xdr:to>
    <xdr:sp macro="" textlink="">
      <xdr:nvSpPr>
        <xdr:cNvPr id="79934" name="Oval 6">
          <a:extLst>
            <a:ext uri="{FF2B5EF4-FFF2-40B4-BE49-F238E27FC236}">
              <a16:creationId xmlns:a16="http://schemas.microsoft.com/office/drawing/2014/main" id="{F79C3214-2898-8382-EA07-8F413879A3A5}"/>
            </a:ext>
          </a:extLst>
        </xdr:cNvPr>
        <xdr:cNvSpPr>
          <a:spLocks noChangeArrowheads="1"/>
        </xdr:cNvSpPr>
      </xdr:nvSpPr>
      <xdr:spPr bwMode="auto">
        <a:xfrm>
          <a:off x="7486650" y="7835900"/>
          <a:ext cx="1416050" cy="13017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438150</xdr:colOff>
      <xdr:row>27</xdr:row>
      <xdr:rowOff>171450</xdr:rowOff>
    </xdr:from>
    <xdr:to>
      <xdr:col>12</xdr:col>
      <xdr:colOff>0</xdr:colOff>
      <xdr:row>34</xdr:row>
      <xdr:rowOff>190500</xdr:rowOff>
    </xdr:to>
    <xdr:sp macro="" textlink="">
      <xdr:nvSpPr>
        <xdr:cNvPr id="79935" name="Oval 7">
          <a:extLst>
            <a:ext uri="{FF2B5EF4-FFF2-40B4-BE49-F238E27FC236}">
              <a16:creationId xmlns:a16="http://schemas.microsoft.com/office/drawing/2014/main" id="{89176A33-AD7F-CFED-D6BA-C8E37EDBFDCA}"/>
            </a:ext>
          </a:extLst>
        </xdr:cNvPr>
        <xdr:cNvSpPr>
          <a:spLocks noChangeArrowheads="1"/>
        </xdr:cNvSpPr>
      </xdr:nvSpPr>
      <xdr:spPr bwMode="auto">
        <a:xfrm>
          <a:off x="8172450" y="7835900"/>
          <a:ext cx="1416050" cy="13017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425450</xdr:colOff>
      <xdr:row>29</xdr:row>
      <xdr:rowOff>133350</xdr:rowOff>
    </xdr:from>
    <xdr:to>
      <xdr:col>11</xdr:col>
      <xdr:colOff>247650</xdr:colOff>
      <xdr:row>33</xdr:row>
      <xdr:rowOff>82550</xdr:rowOff>
    </xdr:to>
    <xdr:sp macro="" textlink="">
      <xdr:nvSpPr>
        <xdr:cNvPr id="79936" name="Oval 8">
          <a:extLst>
            <a:ext uri="{FF2B5EF4-FFF2-40B4-BE49-F238E27FC236}">
              <a16:creationId xmlns:a16="http://schemas.microsoft.com/office/drawing/2014/main" id="{50EA96AF-5C3B-EBFF-2C57-E15836789C5B}"/>
            </a:ext>
          </a:extLst>
        </xdr:cNvPr>
        <xdr:cNvSpPr>
          <a:spLocks noChangeArrowheads="1"/>
        </xdr:cNvSpPr>
      </xdr:nvSpPr>
      <xdr:spPr bwMode="auto">
        <a:xfrm>
          <a:off x="8159750" y="8172450"/>
          <a:ext cx="749300" cy="6985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xdr:col>
      <xdr:colOff>38100</xdr:colOff>
      <xdr:row>18</xdr:row>
      <xdr:rowOff>3176</xdr:rowOff>
    </xdr:from>
    <xdr:to>
      <xdr:col>8</xdr:col>
      <xdr:colOff>224163</xdr:colOff>
      <xdr:row>18</xdr:row>
      <xdr:rowOff>284129</xdr:rowOff>
    </xdr:to>
    <xdr:sp macro="" textlink="">
      <xdr:nvSpPr>
        <xdr:cNvPr id="8" name="Text Box 10">
          <a:extLst>
            <a:ext uri="{FF2B5EF4-FFF2-40B4-BE49-F238E27FC236}">
              <a16:creationId xmlns:a16="http://schemas.microsoft.com/office/drawing/2014/main" id="{C3DC07E2-33DF-DE10-22D4-D166257D717D}"/>
            </a:ext>
          </a:extLst>
        </xdr:cNvPr>
        <xdr:cNvSpPr txBox="1">
          <a:spLocks noChangeArrowheads="1"/>
        </xdr:cNvSpPr>
      </xdr:nvSpPr>
      <xdr:spPr bwMode="auto">
        <a:xfrm>
          <a:off x="3057525" y="5086351"/>
          <a:ext cx="2764155" cy="274568"/>
        </a:xfrm>
        <a:prstGeom prst="rect">
          <a:avLst/>
        </a:prstGeom>
        <a:solidFill>
          <a:srgbClr val="FFFFFF"/>
        </a:solidFill>
        <a:ln w="9525">
          <a:solidFill>
            <a:srgbClr val="000000"/>
          </a:solidFill>
          <a:miter lim="800000"/>
          <a:headEnd/>
          <a:tailEnd/>
        </a:ln>
      </xdr:spPr>
      <xdr:txBody>
        <a:bodyPr vertOverflow="clip" wrap="square" lIns="0" tIns="0" rIns="0" bIns="0" anchor="ctr" upright="1"/>
        <a:lstStyle/>
        <a:p>
          <a:pPr algn="ctr" rtl="0">
            <a:defRPr sz="1000"/>
          </a:pPr>
          <a:r>
            <a:rPr lang="en-US" sz="1400" b="1" i="0" u="none" strike="noStrike" baseline="0">
              <a:solidFill>
                <a:srgbClr val="000000"/>
              </a:solidFill>
              <a:latin typeface="Times New Roman"/>
              <a:cs typeface="Times New Roman"/>
            </a:rPr>
            <a:t>PISTACHIO @ 0.30 inch/day ET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82550</xdr:colOff>
      <xdr:row>17</xdr:row>
      <xdr:rowOff>22860</xdr:rowOff>
    </xdr:from>
    <xdr:to>
      <xdr:col>8</xdr:col>
      <xdr:colOff>579759</xdr:colOff>
      <xdr:row>18</xdr:row>
      <xdr:rowOff>153777</xdr:rowOff>
    </xdr:to>
    <xdr:sp macro="" textlink="">
      <xdr:nvSpPr>
        <xdr:cNvPr id="5121" name="Text Box 1">
          <a:extLst>
            <a:ext uri="{FF2B5EF4-FFF2-40B4-BE49-F238E27FC236}">
              <a16:creationId xmlns:a16="http://schemas.microsoft.com/office/drawing/2014/main" id="{F1DD4C31-709E-E88D-9153-ED4437D50DF7}"/>
            </a:ext>
          </a:extLst>
        </xdr:cNvPr>
        <xdr:cNvSpPr txBox="1">
          <a:spLocks noChangeArrowheads="1"/>
        </xdr:cNvSpPr>
      </xdr:nvSpPr>
      <xdr:spPr bwMode="auto">
        <a:xfrm>
          <a:off x="2506980" y="4587240"/>
          <a:ext cx="3802380" cy="518160"/>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32004" rIns="27432" bIns="0" anchor="t" upright="1"/>
        <a:lstStyle/>
        <a:p>
          <a:pPr algn="ctr" rtl="0">
            <a:defRPr sz="1000"/>
          </a:pPr>
          <a:r>
            <a:rPr lang="en-US" sz="1200" b="1" i="0" u="none" strike="noStrike" baseline="30000">
              <a:solidFill>
                <a:srgbClr val="000000"/>
              </a:solidFill>
              <a:latin typeface="Arial"/>
              <a:cs typeface="Arial"/>
            </a:rPr>
            <a:t>1</a:t>
          </a:r>
          <a:r>
            <a:rPr lang="en-US" sz="1200" b="1" i="0" u="none" strike="noStrike" baseline="0">
              <a:solidFill>
                <a:srgbClr val="000000"/>
              </a:solidFill>
              <a:latin typeface="Arial"/>
              <a:cs typeface="Arial"/>
            </a:rPr>
            <a:t>Irrigation Time to Refill &amp; Moisture Reserve of</a:t>
          </a:r>
        </a:p>
        <a:p>
          <a:pPr algn="ctr" rtl="0">
            <a:defRPr sz="1000"/>
          </a:pPr>
          <a:r>
            <a:rPr lang="en-US" sz="1200" b="1" i="0" u="none" strike="noStrike" baseline="0">
              <a:solidFill>
                <a:srgbClr val="000000"/>
              </a:solidFill>
              <a:latin typeface="Arial"/>
              <a:cs typeface="Arial"/>
            </a:rPr>
            <a:t>4 Foot Wetted Rootzone @ 50% to 100% Available</a:t>
          </a:r>
        </a:p>
      </xdr:txBody>
    </xdr:sp>
    <xdr:clientData/>
  </xdr:twoCellAnchor>
  <mc:AlternateContent xmlns:mc="http://schemas.openxmlformats.org/markup-compatibility/2006">
    <mc:Choice xmlns:a14="http://schemas.microsoft.com/office/drawing/2010/main" Requires="a14">
      <xdr:twoCellAnchor editAs="oneCell">
        <xdr:from>
          <xdr:col>0</xdr:col>
          <xdr:colOff>82550</xdr:colOff>
          <xdr:row>1</xdr:row>
          <xdr:rowOff>101600</xdr:rowOff>
        </xdr:from>
        <xdr:to>
          <xdr:col>8</xdr:col>
          <xdr:colOff>622300</xdr:colOff>
          <xdr:row>15</xdr:row>
          <xdr:rowOff>977900</xdr:rowOff>
        </xdr:to>
        <xdr:pic>
          <xdr:nvPicPr>
            <xdr:cNvPr id="67895" name="Picture 2">
              <a:extLst>
                <a:ext uri="{FF2B5EF4-FFF2-40B4-BE49-F238E27FC236}">
                  <a16:creationId xmlns:a16="http://schemas.microsoft.com/office/drawing/2014/main" id="{4B8B94C5-D3EB-B485-08AE-1516277D1BB7}"/>
                </a:ext>
              </a:extLst>
            </xdr:cNvPr>
            <xdr:cNvPicPr>
              <a:picLocks noChangeAspect="1" noChangeArrowheads="1"/>
              <a:extLst>
                <a:ext uri="{84589F7E-364E-4C9E-8A38-B11213B215E9}">
                  <a14:cameraTool cellRange="$J$4:$O$16" spid="_x0000_s67915"/>
                </a:ext>
              </a:extLst>
            </xdr:cNvPicPr>
          </xdr:nvPicPr>
          <xdr:blipFill>
            <a:blip xmlns:r="http://schemas.openxmlformats.org/officeDocument/2006/relationships" r:embed="rId1"/>
            <a:srcRect/>
            <a:stretch>
              <a:fillRect/>
            </a:stretch>
          </xdr:blipFill>
          <xdr:spPr bwMode="auto">
            <a:xfrm>
              <a:off x="82550" y="260350"/>
              <a:ext cx="6426200" cy="41338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0</xdr:col>
      <xdr:colOff>38100</xdr:colOff>
      <xdr:row>16</xdr:row>
      <xdr:rowOff>114300</xdr:rowOff>
    </xdr:from>
    <xdr:to>
      <xdr:col>2</xdr:col>
      <xdr:colOff>662322</xdr:colOff>
      <xdr:row>18</xdr:row>
      <xdr:rowOff>43896</xdr:rowOff>
    </xdr:to>
    <xdr:sp macro="" textlink="">
      <xdr:nvSpPr>
        <xdr:cNvPr id="5123" name="Text Box 3">
          <a:extLst>
            <a:ext uri="{FF2B5EF4-FFF2-40B4-BE49-F238E27FC236}">
              <a16:creationId xmlns:a16="http://schemas.microsoft.com/office/drawing/2014/main" id="{389F3CF0-0723-7692-C592-10671D4843DC}"/>
            </a:ext>
          </a:extLst>
        </xdr:cNvPr>
        <xdr:cNvSpPr txBox="1">
          <a:spLocks noChangeArrowheads="1"/>
        </xdr:cNvSpPr>
      </xdr:nvSpPr>
      <xdr:spPr bwMode="auto">
        <a:xfrm>
          <a:off x="38100" y="4556760"/>
          <a:ext cx="2369820" cy="441960"/>
        </a:xfrm>
        <a:prstGeom prst="rect">
          <a:avLst/>
        </a:prstGeom>
        <a:solidFill>
          <a:srgbClr val="FFFFFF"/>
        </a:solidFill>
        <a:ln w="9525">
          <a:solidFill>
            <a:srgbClr val="000000"/>
          </a:solidFill>
          <a:miter lim="800000"/>
          <a:headEnd/>
          <a:tailEnd/>
        </a:ln>
      </xdr:spPr>
      <xdr:txBody>
        <a:bodyPr vertOverflow="clip" wrap="square" lIns="0" tIns="45720" rIns="0" bIns="45720" anchor="t" upright="1"/>
        <a:lstStyle/>
        <a:p>
          <a:pPr algn="ctr" rtl="0">
            <a:defRPr sz="1000"/>
          </a:pPr>
          <a:r>
            <a:rPr lang="en-US" sz="1400" b="0" i="0" u="none" strike="noStrike" baseline="0">
              <a:solidFill>
                <a:srgbClr val="000000"/>
              </a:solidFill>
              <a:latin typeface="Times New Roman"/>
              <a:cs typeface="Times New Roman"/>
            </a:rPr>
            <a:t>Refill Times for Different Soil Textures and Micro Systems</a:t>
          </a:r>
        </a:p>
        <a:p>
          <a:pPr algn="ctr" rtl="0">
            <a:defRPr sz="1000"/>
          </a:pPr>
          <a:endParaRPr lang="en-US" sz="1400" b="0" i="0" u="none" strike="noStrike" baseline="0">
            <a:solidFill>
              <a:srgbClr val="000000"/>
            </a:solidFill>
            <a:latin typeface="Times New Roman"/>
            <a:cs typeface="Times New Roman"/>
          </a:endParaRPr>
        </a:p>
      </xdr:txBody>
    </xdr:sp>
    <xdr:clientData/>
  </xdr:twoCellAnchor>
  <xdr:twoCellAnchor>
    <xdr:from>
      <xdr:col>18</xdr:col>
      <xdr:colOff>120650</xdr:colOff>
      <xdr:row>25</xdr:row>
      <xdr:rowOff>190500</xdr:rowOff>
    </xdr:from>
    <xdr:to>
      <xdr:col>25</xdr:col>
      <xdr:colOff>69850</xdr:colOff>
      <xdr:row>33</xdr:row>
      <xdr:rowOff>6350</xdr:rowOff>
    </xdr:to>
    <xdr:sp macro="" textlink="">
      <xdr:nvSpPr>
        <xdr:cNvPr id="67897" name="Oval 4">
          <a:extLst>
            <a:ext uri="{FF2B5EF4-FFF2-40B4-BE49-F238E27FC236}">
              <a16:creationId xmlns:a16="http://schemas.microsoft.com/office/drawing/2014/main" id="{346CC51C-CC21-FBA6-B34D-0535D18F6D40}"/>
            </a:ext>
          </a:extLst>
        </xdr:cNvPr>
        <xdr:cNvSpPr>
          <a:spLocks noChangeArrowheads="1"/>
        </xdr:cNvSpPr>
      </xdr:nvSpPr>
      <xdr:spPr bwMode="auto">
        <a:xfrm>
          <a:off x="12998450" y="7315200"/>
          <a:ext cx="1416050" cy="13906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35</xdr:col>
      <xdr:colOff>482600</xdr:colOff>
      <xdr:row>25</xdr:row>
      <xdr:rowOff>6350</xdr:rowOff>
    </xdr:from>
    <xdr:to>
      <xdr:col>38</xdr:col>
      <xdr:colOff>19050</xdr:colOff>
      <xdr:row>32</xdr:row>
      <xdr:rowOff>31750</xdr:rowOff>
    </xdr:to>
    <xdr:sp macro="" textlink="">
      <xdr:nvSpPr>
        <xdr:cNvPr id="67898" name="Oval 5">
          <a:extLst>
            <a:ext uri="{FF2B5EF4-FFF2-40B4-BE49-F238E27FC236}">
              <a16:creationId xmlns:a16="http://schemas.microsoft.com/office/drawing/2014/main" id="{3FC3DB3E-8095-5922-624F-30D08FC5A680}"/>
            </a:ext>
          </a:extLst>
        </xdr:cNvPr>
        <xdr:cNvSpPr>
          <a:spLocks noChangeArrowheads="1"/>
        </xdr:cNvSpPr>
      </xdr:nvSpPr>
      <xdr:spPr bwMode="auto">
        <a:xfrm>
          <a:off x="16922750" y="7131050"/>
          <a:ext cx="1460500" cy="1403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425450</xdr:colOff>
      <xdr:row>29</xdr:row>
      <xdr:rowOff>133350</xdr:rowOff>
    </xdr:from>
    <xdr:to>
      <xdr:col>11</xdr:col>
      <xdr:colOff>247650</xdr:colOff>
      <xdr:row>33</xdr:row>
      <xdr:rowOff>88900</xdr:rowOff>
    </xdr:to>
    <xdr:sp macro="" textlink="">
      <xdr:nvSpPr>
        <xdr:cNvPr id="67899" name="Oval 6">
          <a:extLst>
            <a:ext uri="{FF2B5EF4-FFF2-40B4-BE49-F238E27FC236}">
              <a16:creationId xmlns:a16="http://schemas.microsoft.com/office/drawing/2014/main" id="{3FDCDA40-D2A8-3B31-7C90-1DD1F856D190}"/>
            </a:ext>
          </a:extLst>
        </xdr:cNvPr>
        <xdr:cNvSpPr>
          <a:spLocks noChangeArrowheads="1"/>
        </xdr:cNvSpPr>
      </xdr:nvSpPr>
      <xdr:spPr bwMode="auto">
        <a:xfrm>
          <a:off x="8159750" y="8045450"/>
          <a:ext cx="749300" cy="7429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29</xdr:col>
      <xdr:colOff>0</xdr:colOff>
      <xdr:row>25</xdr:row>
      <xdr:rowOff>190500</xdr:rowOff>
    </xdr:from>
    <xdr:to>
      <xdr:col>35</xdr:col>
      <xdr:colOff>12700</xdr:colOff>
      <xdr:row>32</xdr:row>
      <xdr:rowOff>0</xdr:rowOff>
    </xdr:to>
    <xdr:sp macro="" textlink="">
      <xdr:nvSpPr>
        <xdr:cNvPr id="67900" name="Oval 7">
          <a:extLst>
            <a:ext uri="{FF2B5EF4-FFF2-40B4-BE49-F238E27FC236}">
              <a16:creationId xmlns:a16="http://schemas.microsoft.com/office/drawing/2014/main" id="{F0E48AA1-68BD-0212-B7CF-E9E7E56A4B59}"/>
            </a:ext>
          </a:extLst>
        </xdr:cNvPr>
        <xdr:cNvSpPr>
          <a:spLocks noChangeArrowheads="1"/>
        </xdr:cNvSpPr>
      </xdr:nvSpPr>
      <xdr:spPr bwMode="auto">
        <a:xfrm>
          <a:off x="15182850" y="7315200"/>
          <a:ext cx="1270000" cy="1187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25</xdr:col>
      <xdr:colOff>0</xdr:colOff>
      <xdr:row>25</xdr:row>
      <xdr:rowOff>190500</xdr:rowOff>
    </xdr:from>
    <xdr:to>
      <xdr:col>31</xdr:col>
      <xdr:colOff>12700</xdr:colOff>
      <xdr:row>32</xdr:row>
      <xdr:rowOff>0</xdr:rowOff>
    </xdr:to>
    <xdr:sp macro="" textlink="">
      <xdr:nvSpPr>
        <xdr:cNvPr id="67901" name="Oval 8">
          <a:extLst>
            <a:ext uri="{FF2B5EF4-FFF2-40B4-BE49-F238E27FC236}">
              <a16:creationId xmlns:a16="http://schemas.microsoft.com/office/drawing/2014/main" id="{0B739B60-580F-63EE-4A74-2C189F903227}"/>
            </a:ext>
          </a:extLst>
        </xdr:cNvPr>
        <xdr:cNvSpPr>
          <a:spLocks noChangeArrowheads="1"/>
        </xdr:cNvSpPr>
      </xdr:nvSpPr>
      <xdr:spPr bwMode="auto">
        <a:xfrm>
          <a:off x="14344650" y="7315200"/>
          <a:ext cx="1270000" cy="1187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298450</xdr:colOff>
          <xdr:row>34</xdr:row>
          <xdr:rowOff>152400</xdr:rowOff>
        </xdr:from>
        <xdr:to>
          <xdr:col>10</xdr:col>
          <xdr:colOff>266700</xdr:colOff>
          <xdr:row>60</xdr:row>
          <xdr:rowOff>0</xdr:rowOff>
        </xdr:to>
        <xdr:pic>
          <xdr:nvPicPr>
            <xdr:cNvPr id="67902" name="Picture 9">
              <a:extLst>
                <a:ext uri="{FF2B5EF4-FFF2-40B4-BE49-F238E27FC236}">
                  <a16:creationId xmlns:a16="http://schemas.microsoft.com/office/drawing/2014/main" id="{335158BE-DEFD-9168-C8C4-8DA0E5A075D4}"/>
                </a:ext>
              </a:extLst>
            </xdr:cNvPr>
            <xdr:cNvPicPr>
              <a:picLocks noChangeAspect="1" noChangeArrowheads="1"/>
              <a:extLst>
                <a:ext uri="{84589F7E-364E-4C9E-8A38-B11213B215E9}">
                  <a14:cameraTool cellRange="$A$17:$I$33" spid="_x0000_s67916"/>
                </a:ext>
              </a:extLst>
            </xdr:cNvPicPr>
          </xdr:nvPicPr>
          <xdr:blipFill>
            <a:blip xmlns:r="http://schemas.openxmlformats.org/officeDocument/2006/relationships" r:embed="rId2"/>
            <a:srcRect/>
            <a:stretch>
              <a:fillRect/>
            </a:stretch>
          </xdr:blipFill>
          <xdr:spPr bwMode="auto">
            <a:xfrm>
              <a:off x="1428750" y="9048750"/>
              <a:ext cx="6572250" cy="42608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3</xdr:col>
      <xdr:colOff>82550</xdr:colOff>
      <xdr:row>17</xdr:row>
      <xdr:rowOff>22860</xdr:rowOff>
    </xdr:from>
    <xdr:to>
      <xdr:col>8</xdr:col>
      <xdr:colOff>579759</xdr:colOff>
      <xdr:row>18</xdr:row>
      <xdr:rowOff>153777</xdr:rowOff>
    </xdr:to>
    <xdr:sp macro="" textlink="">
      <xdr:nvSpPr>
        <xdr:cNvPr id="5130" name="Text Box 10">
          <a:extLst>
            <a:ext uri="{FF2B5EF4-FFF2-40B4-BE49-F238E27FC236}">
              <a16:creationId xmlns:a16="http://schemas.microsoft.com/office/drawing/2014/main" id="{C76663AB-A90E-A4E9-A868-7421D1AEDFC5}"/>
            </a:ext>
          </a:extLst>
        </xdr:cNvPr>
        <xdr:cNvSpPr txBox="1">
          <a:spLocks noChangeArrowheads="1"/>
        </xdr:cNvSpPr>
      </xdr:nvSpPr>
      <xdr:spPr bwMode="auto">
        <a:xfrm>
          <a:off x="2506980" y="4587240"/>
          <a:ext cx="3802380" cy="518160"/>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32004" rIns="27432" bIns="0" anchor="t" upright="1"/>
        <a:lstStyle/>
        <a:p>
          <a:pPr algn="ctr" rtl="0">
            <a:defRPr sz="1000"/>
          </a:pPr>
          <a:r>
            <a:rPr lang="en-US" sz="1200" b="1" i="0" u="none" strike="noStrike" baseline="30000">
              <a:solidFill>
                <a:srgbClr val="000000"/>
              </a:solidFill>
              <a:latin typeface="Arial"/>
              <a:cs typeface="Arial"/>
            </a:rPr>
            <a:t>1</a:t>
          </a:r>
          <a:r>
            <a:rPr lang="en-US" sz="1200" b="1" i="0" u="none" strike="noStrike" baseline="0">
              <a:solidFill>
                <a:srgbClr val="000000"/>
              </a:solidFill>
              <a:latin typeface="Arial"/>
              <a:cs typeface="Arial"/>
            </a:rPr>
            <a:t>Irrigation Time to Refill &amp; Moisture Reserve of</a:t>
          </a:r>
        </a:p>
        <a:p>
          <a:pPr algn="ctr" rtl="0">
            <a:defRPr sz="1000"/>
          </a:pPr>
          <a:r>
            <a:rPr lang="en-US" sz="1200" b="1" i="0" u="none" strike="noStrike" baseline="0">
              <a:solidFill>
                <a:srgbClr val="000000"/>
              </a:solidFill>
              <a:latin typeface="Arial"/>
              <a:cs typeface="Arial"/>
            </a:rPr>
            <a:t>4 Foot Wetted Rootzone @ 50% to 100% Available</a:t>
          </a:r>
        </a:p>
      </xdr:txBody>
    </xdr:sp>
    <xdr:clientData/>
  </xdr:twoCellAnchor>
  <mc:AlternateContent xmlns:mc="http://schemas.openxmlformats.org/markup-compatibility/2006">
    <mc:Choice xmlns:a14="http://schemas.microsoft.com/office/drawing/2010/main" Requires="a14">
      <xdr:twoCellAnchor editAs="oneCell">
        <xdr:from>
          <xdr:col>0</xdr:col>
          <xdr:colOff>82550</xdr:colOff>
          <xdr:row>1</xdr:row>
          <xdr:rowOff>101600</xdr:rowOff>
        </xdr:from>
        <xdr:to>
          <xdr:col>8</xdr:col>
          <xdr:colOff>622300</xdr:colOff>
          <xdr:row>15</xdr:row>
          <xdr:rowOff>977900</xdr:rowOff>
        </xdr:to>
        <xdr:pic>
          <xdr:nvPicPr>
            <xdr:cNvPr id="67904" name="Picture 11">
              <a:extLst>
                <a:ext uri="{FF2B5EF4-FFF2-40B4-BE49-F238E27FC236}">
                  <a16:creationId xmlns:a16="http://schemas.microsoft.com/office/drawing/2014/main" id="{35EB213A-94F1-27B9-A9E1-BDE653B58390}"/>
                </a:ext>
              </a:extLst>
            </xdr:cNvPr>
            <xdr:cNvPicPr>
              <a:picLocks noChangeAspect="1" noChangeArrowheads="1"/>
              <a:extLst>
                <a:ext uri="{84589F7E-364E-4C9E-8A38-B11213B215E9}">
                  <a14:cameraTool cellRange="$J$4:$O$16" spid="_x0000_s67917"/>
                </a:ext>
              </a:extLst>
            </xdr:cNvPicPr>
          </xdr:nvPicPr>
          <xdr:blipFill>
            <a:blip xmlns:r="http://schemas.openxmlformats.org/officeDocument/2006/relationships" r:embed="rId3"/>
            <a:srcRect/>
            <a:stretch>
              <a:fillRect/>
            </a:stretch>
          </xdr:blipFill>
          <xdr:spPr bwMode="auto">
            <a:xfrm>
              <a:off x="82550" y="260350"/>
              <a:ext cx="6426200" cy="41338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0</xdr:col>
      <xdr:colOff>38100</xdr:colOff>
      <xdr:row>16</xdr:row>
      <xdr:rowOff>15240</xdr:rowOff>
    </xdr:from>
    <xdr:to>
      <xdr:col>2</xdr:col>
      <xdr:colOff>662322</xdr:colOff>
      <xdr:row>18</xdr:row>
      <xdr:rowOff>43815</xdr:rowOff>
    </xdr:to>
    <xdr:sp macro="" textlink="">
      <xdr:nvSpPr>
        <xdr:cNvPr id="5132" name="Text Box 12">
          <a:extLst>
            <a:ext uri="{FF2B5EF4-FFF2-40B4-BE49-F238E27FC236}">
              <a16:creationId xmlns:a16="http://schemas.microsoft.com/office/drawing/2014/main" id="{8A44D546-1AD8-01C0-A650-3F0A0329F964}"/>
            </a:ext>
          </a:extLst>
        </xdr:cNvPr>
        <xdr:cNvSpPr txBox="1">
          <a:spLocks noChangeArrowheads="1"/>
        </xdr:cNvSpPr>
      </xdr:nvSpPr>
      <xdr:spPr bwMode="auto">
        <a:xfrm>
          <a:off x="38100" y="4457700"/>
          <a:ext cx="2369820" cy="541020"/>
        </a:xfrm>
        <a:prstGeom prst="rect">
          <a:avLst/>
        </a:prstGeom>
        <a:solidFill>
          <a:srgbClr val="FFFFFF"/>
        </a:solidFill>
        <a:ln w="9525">
          <a:solidFill>
            <a:srgbClr val="000000"/>
          </a:solidFill>
          <a:miter lim="800000"/>
          <a:headEnd/>
          <a:tailEnd/>
        </a:ln>
      </xdr:spPr>
      <xdr:txBody>
        <a:bodyPr vertOverflow="clip" wrap="square" lIns="0" tIns="45720" rIns="0" bIns="45720" anchor="t" upright="1"/>
        <a:lstStyle/>
        <a:p>
          <a:pPr algn="ctr" rtl="0">
            <a:defRPr sz="1000"/>
          </a:pPr>
          <a:r>
            <a:rPr lang="en-US" sz="1400" b="0" i="0" u="none" strike="noStrike" baseline="0">
              <a:solidFill>
                <a:srgbClr val="000000"/>
              </a:solidFill>
              <a:latin typeface="Times New Roman"/>
              <a:cs typeface="Times New Roman"/>
            </a:rPr>
            <a:t>Refill Times for Different Soil Textures and Micro Systems</a:t>
          </a:r>
        </a:p>
        <a:p>
          <a:pPr algn="ctr" rtl="0">
            <a:defRPr sz="1000"/>
          </a:pPr>
          <a:endParaRPr lang="en-US" sz="1400" b="0" i="0" u="none" strike="noStrike" baseline="0">
            <a:solidFill>
              <a:srgbClr val="000000"/>
            </a:solidFill>
            <a:latin typeface="Times New Roman"/>
            <a:cs typeface="Times New Roman"/>
          </a:endParaRPr>
        </a:p>
      </xdr:txBody>
    </xdr:sp>
    <xdr:clientData/>
  </xdr:twoCellAnchor>
  <xdr:twoCellAnchor>
    <xdr:from>
      <xdr:col>18</xdr:col>
      <xdr:colOff>120650</xdr:colOff>
      <xdr:row>25</xdr:row>
      <xdr:rowOff>190500</xdr:rowOff>
    </xdr:from>
    <xdr:to>
      <xdr:col>25</xdr:col>
      <xdr:colOff>69850</xdr:colOff>
      <xdr:row>33</xdr:row>
      <xdr:rowOff>6350</xdr:rowOff>
    </xdr:to>
    <xdr:sp macro="" textlink="">
      <xdr:nvSpPr>
        <xdr:cNvPr id="67906" name="Oval 13">
          <a:extLst>
            <a:ext uri="{FF2B5EF4-FFF2-40B4-BE49-F238E27FC236}">
              <a16:creationId xmlns:a16="http://schemas.microsoft.com/office/drawing/2014/main" id="{96941097-83DE-12ED-5E7F-359FDBC9033F}"/>
            </a:ext>
          </a:extLst>
        </xdr:cNvPr>
        <xdr:cNvSpPr>
          <a:spLocks noChangeArrowheads="1"/>
        </xdr:cNvSpPr>
      </xdr:nvSpPr>
      <xdr:spPr bwMode="auto">
        <a:xfrm>
          <a:off x="12998450" y="7315200"/>
          <a:ext cx="1416050" cy="13906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35</xdr:col>
      <xdr:colOff>482600</xdr:colOff>
      <xdr:row>25</xdr:row>
      <xdr:rowOff>6350</xdr:rowOff>
    </xdr:from>
    <xdr:to>
      <xdr:col>38</xdr:col>
      <xdr:colOff>19050</xdr:colOff>
      <xdr:row>32</xdr:row>
      <xdr:rowOff>31750</xdr:rowOff>
    </xdr:to>
    <xdr:sp macro="" textlink="">
      <xdr:nvSpPr>
        <xdr:cNvPr id="67907" name="Oval 14">
          <a:extLst>
            <a:ext uri="{FF2B5EF4-FFF2-40B4-BE49-F238E27FC236}">
              <a16:creationId xmlns:a16="http://schemas.microsoft.com/office/drawing/2014/main" id="{3E682AD6-8766-A78E-5D04-E5C803CF69DA}"/>
            </a:ext>
          </a:extLst>
        </xdr:cNvPr>
        <xdr:cNvSpPr>
          <a:spLocks noChangeArrowheads="1"/>
        </xdr:cNvSpPr>
      </xdr:nvSpPr>
      <xdr:spPr bwMode="auto">
        <a:xfrm>
          <a:off x="16922750" y="7131050"/>
          <a:ext cx="1460500" cy="1403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425450</xdr:colOff>
      <xdr:row>29</xdr:row>
      <xdr:rowOff>133350</xdr:rowOff>
    </xdr:from>
    <xdr:to>
      <xdr:col>11</xdr:col>
      <xdr:colOff>247650</xdr:colOff>
      <xdr:row>33</xdr:row>
      <xdr:rowOff>88900</xdr:rowOff>
    </xdr:to>
    <xdr:sp macro="" textlink="">
      <xdr:nvSpPr>
        <xdr:cNvPr id="67908" name="Oval 15">
          <a:extLst>
            <a:ext uri="{FF2B5EF4-FFF2-40B4-BE49-F238E27FC236}">
              <a16:creationId xmlns:a16="http://schemas.microsoft.com/office/drawing/2014/main" id="{3A702817-9283-7E40-7F6A-4BE0B166ACFE}"/>
            </a:ext>
          </a:extLst>
        </xdr:cNvPr>
        <xdr:cNvSpPr>
          <a:spLocks noChangeArrowheads="1"/>
        </xdr:cNvSpPr>
      </xdr:nvSpPr>
      <xdr:spPr bwMode="auto">
        <a:xfrm>
          <a:off x="8159750" y="8045450"/>
          <a:ext cx="749300" cy="7429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29</xdr:col>
      <xdr:colOff>0</xdr:colOff>
      <xdr:row>25</xdr:row>
      <xdr:rowOff>190500</xdr:rowOff>
    </xdr:from>
    <xdr:to>
      <xdr:col>35</xdr:col>
      <xdr:colOff>12700</xdr:colOff>
      <xdr:row>32</xdr:row>
      <xdr:rowOff>0</xdr:rowOff>
    </xdr:to>
    <xdr:sp macro="" textlink="">
      <xdr:nvSpPr>
        <xdr:cNvPr id="67909" name="Oval 16">
          <a:extLst>
            <a:ext uri="{FF2B5EF4-FFF2-40B4-BE49-F238E27FC236}">
              <a16:creationId xmlns:a16="http://schemas.microsoft.com/office/drawing/2014/main" id="{79FB7EA3-7176-5FFC-1CB6-DDE95A419C29}"/>
            </a:ext>
          </a:extLst>
        </xdr:cNvPr>
        <xdr:cNvSpPr>
          <a:spLocks noChangeArrowheads="1"/>
        </xdr:cNvSpPr>
      </xdr:nvSpPr>
      <xdr:spPr bwMode="auto">
        <a:xfrm>
          <a:off x="15182850" y="7315200"/>
          <a:ext cx="1270000" cy="1187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25</xdr:col>
      <xdr:colOff>0</xdr:colOff>
      <xdr:row>25</xdr:row>
      <xdr:rowOff>190500</xdr:rowOff>
    </xdr:from>
    <xdr:to>
      <xdr:col>31</xdr:col>
      <xdr:colOff>12700</xdr:colOff>
      <xdr:row>32</xdr:row>
      <xdr:rowOff>0</xdr:rowOff>
    </xdr:to>
    <xdr:sp macro="" textlink="">
      <xdr:nvSpPr>
        <xdr:cNvPr id="67910" name="Oval 17">
          <a:extLst>
            <a:ext uri="{FF2B5EF4-FFF2-40B4-BE49-F238E27FC236}">
              <a16:creationId xmlns:a16="http://schemas.microsoft.com/office/drawing/2014/main" id="{DB17A32F-3308-2DA1-0FB2-27879B8DE58E}"/>
            </a:ext>
          </a:extLst>
        </xdr:cNvPr>
        <xdr:cNvSpPr>
          <a:spLocks noChangeArrowheads="1"/>
        </xdr:cNvSpPr>
      </xdr:nvSpPr>
      <xdr:spPr bwMode="auto">
        <a:xfrm>
          <a:off x="14344650" y="7315200"/>
          <a:ext cx="1270000" cy="1187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239395</xdr:colOff>
      <xdr:row>18</xdr:row>
      <xdr:rowOff>100330</xdr:rowOff>
    </xdr:from>
    <xdr:to>
      <xdr:col>8</xdr:col>
      <xdr:colOff>120040</xdr:colOff>
      <xdr:row>18</xdr:row>
      <xdr:rowOff>337323</xdr:rowOff>
    </xdr:to>
    <xdr:sp macro="" textlink="">
      <xdr:nvSpPr>
        <xdr:cNvPr id="5139" name="Text Box 19">
          <a:extLst>
            <a:ext uri="{FF2B5EF4-FFF2-40B4-BE49-F238E27FC236}">
              <a16:creationId xmlns:a16="http://schemas.microsoft.com/office/drawing/2014/main" id="{43B3CF2B-7AE0-20B9-52AA-757ED366AC06}"/>
            </a:ext>
          </a:extLst>
        </xdr:cNvPr>
        <xdr:cNvSpPr txBox="1">
          <a:spLocks noChangeArrowheads="1"/>
        </xdr:cNvSpPr>
      </xdr:nvSpPr>
      <xdr:spPr bwMode="auto">
        <a:xfrm>
          <a:off x="3329940" y="5052060"/>
          <a:ext cx="2545080" cy="220980"/>
        </a:xfrm>
        <a:prstGeom prst="rect">
          <a:avLst/>
        </a:prstGeom>
        <a:solidFill>
          <a:srgbClr val="FFFFFF"/>
        </a:solidFill>
        <a:ln w="9525">
          <a:solidFill>
            <a:srgbClr val="000000"/>
          </a:solidFill>
          <a:miter lim="800000"/>
          <a:headEnd/>
          <a:tailEnd/>
        </a:ln>
      </xdr:spPr>
      <xdr:txBody>
        <a:bodyPr vertOverflow="clip" wrap="square" lIns="0" tIns="0" rIns="0" bIns="0" anchor="ctr" upright="1"/>
        <a:lstStyle/>
        <a:p>
          <a:pPr algn="ctr" rtl="0">
            <a:defRPr sz="1000"/>
          </a:pPr>
          <a:r>
            <a:rPr lang="en-US" sz="1400" b="1" i="0" u="none" strike="noStrike" baseline="0">
              <a:solidFill>
                <a:srgbClr val="000000"/>
              </a:solidFill>
              <a:latin typeface="Times New Roman"/>
              <a:cs typeface="Times New Roman"/>
            </a:rPr>
            <a:t>ALMONDS 0.28 inch/day ET</a:t>
          </a: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82550</xdr:colOff>
          <xdr:row>1</xdr:row>
          <xdr:rowOff>101600</xdr:rowOff>
        </xdr:from>
        <xdr:to>
          <xdr:col>8</xdr:col>
          <xdr:colOff>622300</xdr:colOff>
          <xdr:row>15</xdr:row>
          <xdr:rowOff>977900</xdr:rowOff>
        </xdr:to>
        <xdr:pic>
          <xdr:nvPicPr>
            <xdr:cNvPr id="87057" name="Picture 2">
              <a:extLst>
                <a:ext uri="{FF2B5EF4-FFF2-40B4-BE49-F238E27FC236}">
                  <a16:creationId xmlns:a16="http://schemas.microsoft.com/office/drawing/2014/main" id="{3E2EDC6A-29D2-9337-2B02-2DC711EF9CFD}"/>
                </a:ext>
              </a:extLst>
            </xdr:cNvPr>
            <xdr:cNvPicPr>
              <a:picLocks noChangeAspect="1" noChangeArrowheads="1"/>
              <a:extLst>
                <a:ext uri="{84589F7E-364E-4C9E-8A38-B11213B215E9}">
                  <a14:cameraTool cellRange="$J$4:$O$16" spid="_x0000_s87074"/>
                </a:ext>
              </a:extLst>
            </xdr:cNvPicPr>
          </xdr:nvPicPr>
          <xdr:blipFill>
            <a:blip xmlns:r="http://schemas.openxmlformats.org/officeDocument/2006/relationships" r:embed="rId1"/>
            <a:srcRect/>
            <a:stretch>
              <a:fillRect/>
            </a:stretch>
          </xdr:blipFill>
          <xdr:spPr bwMode="auto">
            <a:xfrm>
              <a:off x="82550" y="260350"/>
              <a:ext cx="6426200" cy="41338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18</xdr:col>
      <xdr:colOff>120650</xdr:colOff>
      <xdr:row>25</xdr:row>
      <xdr:rowOff>190500</xdr:rowOff>
    </xdr:from>
    <xdr:to>
      <xdr:col>25</xdr:col>
      <xdr:colOff>69850</xdr:colOff>
      <xdr:row>33</xdr:row>
      <xdr:rowOff>6350</xdr:rowOff>
    </xdr:to>
    <xdr:sp macro="" textlink="">
      <xdr:nvSpPr>
        <xdr:cNvPr id="87058" name="Oval 4">
          <a:extLst>
            <a:ext uri="{FF2B5EF4-FFF2-40B4-BE49-F238E27FC236}">
              <a16:creationId xmlns:a16="http://schemas.microsoft.com/office/drawing/2014/main" id="{46E2DC47-4305-CF6C-5CE2-DB838487CB48}"/>
            </a:ext>
          </a:extLst>
        </xdr:cNvPr>
        <xdr:cNvSpPr>
          <a:spLocks noChangeArrowheads="1"/>
        </xdr:cNvSpPr>
      </xdr:nvSpPr>
      <xdr:spPr bwMode="auto">
        <a:xfrm>
          <a:off x="12998450" y="7315200"/>
          <a:ext cx="1416050" cy="13906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35</xdr:col>
      <xdr:colOff>482600</xdr:colOff>
      <xdr:row>25</xdr:row>
      <xdr:rowOff>6350</xdr:rowOff>
    </xdr:from>
    <xdr:to>
      <xdr:col>38</xdr:col>
      <xdr:colOff>19050</xdr:colOff>
      <xdr:row>32</xdr:row>
      <xdr:rowOff>31750</xdr:rowOff>
    </xdr:to>
    <xdr:sp macro="" textlink="">
      <xdr:nvSpPr>
        <xdr:cNvPr id="87059" name="Oval 5">
          <a:extLst>
            <a:ext uri="{FF2B5EF4-FFF2-40B4-BE49-F238E27FC236}">
              <a16:creationId xmlns:a16="http://schemas.microsoft.com/office/drawing/2014/main" id="{044DF146-1293-F627-1C42-D6B4BFCE320D}"/>
            </a:ext>
          </a:extLst>
        </xdr:cNvPr>
        <xdr:cNvSpPr>
          <a:spLocks noChangeArrowheads="1"/>
        </xdr:cNvSpPr>
      </xdr:nvSpPr>
      <xdr:spPr bwMode="auto">
        <a:xfrm>
          <a:off x="16922750" y="7131050"/>
          <a:ext cx="1460500" cy="1403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29</xdr:col>
      <xdr:colOff>0</xdr:colOff>
      <xdr:row>25</xdr:row>
      <xdr:rowOff>190500</xdr:rowOff>
    </xdr:from>
    <xdr:to>
      <xdr:col>35</xdr:col>
      <xdr:colOff>12700</xdr:colOff>
      <xdr:row>32</xdr:row>
      <xdr:rowOff>0</xdr:rowOff>
    </xdr:to>
    <xdr:sp macro="" textlink="">
      <xdr:nvSpPr>
        <xdr:cNvPr id="87060" name="Oval 7">
          <a:extLst>
            <a:ext uri="{FF2B5EF4-FFF2-40B4-BE49-F238E27FC236}">
              <a16:creationId xmlns:a16="http://schemas.microsoft.com/office/drawing/2014/main" id="{877EE425-A033-E43C-97F7-04F3383BBFC1}"/>
            </a:ext>
          </a:extLst>
        </xdr:cNvPr>
        <xdr:cNvSpPr>
          <a:spLocks noChangeArrowheads="1"/>
        </xdr:cNvSpPr>
      </xdr:nvSpPr>
      <xdr:spPr bwMode="auto">
        <a:xfrm>
          <a:off x="15182850" y="7315200"/>
          <a:ext cx="1270000" cy="1187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25</xdr:col>
      <xdr:colOff>0</xdr:colOff>
      <xdr:row>25</xdr:row>
      <xdr:rowOff>190500</xdr:rowOff>
    </xdr:from>
    <xdr:to>
      <xdr:col>31</xdr:col>
      <xdr:colOff>12700</xdr:colOff>
      <xdr:row>32</xdr:row>
      <xdr:rowOff>0</xdr:rowOff>
    </xdr:to>
    <xdr:sp macro="" textlink="">
      <xdr:nvSpPr>
        <xdr:cNvPr id="87061" name="Oval 8">
          <a:extLst>
            <a:ext uri="{FF2B5EF4-FFF2-40B4-BE49-F238E27FC236}">
              <a16:creationId xmlns:a16="http://schemas.microsoft.com/office/drawing/2014/main" id="{A21B6918-CA9B-856E-3D1D-F8937CE14107}"/>
            </a:ext>
          </a:extLst>
        </xdr:cNvPr>
        <xdr:cNvSpPr>
          <a:spLocks noChangeArrowheads="1"/>
        </xdr:cNvSpPr>
      </xdr:nvSpPr>
      <xdr:spPr bwMode="auto">
        <a:xfrm>
          <a:off x="14344650" y="7315200"/>
          <a:ext cx="1270000" cy="1187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107950</xdr:colOff>
          <xdr:row>34</xdr:row>
          <xdr:rowOff>133350</xdr:rowOff>
        </xdr:from>
        <xdr:to>
          <xdr:col>10</xdr:col>
          <xdr:colOff>82550</xdr:colOff>
          <xdr:row>59</xdr:row>
          <xdr:rowOff>139700</xdr:rowOff>
        </xdr:to>
        <xdr:pic>
          <xdr:nvPicPr>
            <xdr:cNvPr id="87062" name="Picture 9">
              <a:extLst>
                <a:ext uri="{FF2B5EF4-FFF2-40B4-BE49-F238E27FC236}">
                  <a16:creationId xmlns:a16="http://schemas.microsoft.com/office/drawing/2014/main" id="{E504806B-E8BD-0DCF-A0DD-267C88255A00}"/>
                </a:ext>
              </a:extLst>
            </xdr:cNvPr>
            <xdr:cNvPicPr>
              <a:picLocks noChangeAspect="1" noChangeArrowheads="1"/>
              <a:extLst>
                <a:ext uri="{84589F7E-364E-4C9E-8A38-B11213B215E9}">
                  <a14:cameraTool cellRange="$A$17:$I$33" spid="_x0000_s87075"/>
                </a:ext>
              </a:extLst>
            </xdr:cNvPicPr>
          </xdr:nvPicPr>
          <xdr:blipFill>
            <a:blip xmlns:r="http://schemas.openxmlformats.org/officeDocument/2006/relationships" r:embed="rId2"/>
            <a:srcRect/>
            <a:stretch>
              <a:fillRect/>
            </a:stretch>
          </xdr:blipFill>
          <xdr:spPr bwMode="auto">
            <a:xfrm>
              <a:off x="1238250" y="9029700"/>
              <a:ext cx="6578600" cy="42608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3</xdr:col>
      <xdr:colOff>60960</xdr:colOff>
      <xdr:row>16</xdr:row>
      <xdr:rowOff>53340</xdr:rowOff>
    </xdr:from>
    <xdr:to>
      <xdr:col>8</xdr:col>
      <xdr:colOff>554979</xdr:colOff>
      <xdr:row>18</xdr:row>
      <xdr:rowOff>76200</xdr:rowOff>
    </xdr:to>
    <xdr:sp macro="" textlink="">
      <xdr:nvSpPr>
        <xdr:cNvPr id="7178" name="Text Box 10">
          <a:extLst>
            <a:ext uri="{FF2B5EF4-FFF2-40B4-BE49-F238E27FC236}">
              <a16:creationId xmlns:a16="http://schemas.microsoft.com/office/drawing/2014/main" id="{31D459E4-3339-7412-5DD5-836B412B5A25}"/>
            </a:ext>
          </a:extLst>
        </xdr:cNvPr>
        <xdr:cNvSpPr txBox="1">
          <a:spLocks noChangeArrowheads="1"/>
        </xdr:cNvSpPr>
      </xdr:nvSpPr>
      <xdr:spPr bwMode="auto">
        <a:xfrm>
          <a:off x="2491740" y="4495800"/>
          <a:ext cx="3802380" cy="525780"/>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32004" rIns="27432" bIns="0" anchor="t" upright="1"/>
        <a:lstStyle/>
        <a:p>
          <a:pPr algn="ctr" rtl="0">
            <a:defRPr sz="1000"/>
          </a:pPr>
          <a:r>
            <a:rPr lang="en-US" sz="1200" b="1" i="0" u="none" strike="noStrike" baseline="30000">
              <a:solidFill>
                <a:srgbClr val="000000"/>
              </a:solidFill>
              <a:latin typeface="Arial"/>
              <a:cs typeface="Arial"/>
            </a:rPr>
            <a:t>1</a:t>
          </a:r>
          <a:r>
            <a:rPr lang="en-US" sz="1200" b="1" i="0" u="none" strike="noStrike" baseline="0">
              <a:solidFill>
                <a:srgbClr val="000000"/>
              </a:solidFill>
              <a:latin typeface="Arial"/>
              <a:cs typeface="Arial"/>
            </a:rPr>
            <a:t>Irrigation Time to Refill &amp; Moisture Reserve of</a:t>
          </a:r>
        </a:p>
        <a:p>
          <a:pPr algn="ctr" rtl="0">
            <a:defRPr sz="1000"/>
          </a:pPr>
          <a:r>
            <a:rPr lang="en-US" sz="1200" b="1" i="0" u="none" strike="noStrike" baseline="0">
              <a:solidFill>
                <a:srgbClr val="000000"/>
              </a:solidFill>
              <a:latin typeface="Arial"/>
              <a:cs typeface="Arial"/>
            </a:rPr>
            <a:t>4 Foot Wetted Rootzone @ 50% to 100% Available</a:t>
          </a:r>
        </a:p>
      </xdr:txBody>
    </xdr:sp>
    <xdr:clientData/>
  </xdr:twoCellAnchor>
  <mc:AlternateContent xmlns:mc="http://schemas.openxmlformats.org/markup-compatibility/2006">
    <mc:Choice xmlns:a14="http://schemas.microsoft.com/office/drawing/2010/main" Requires="a14">
      <xdr:twoCellAnchor editAs="oneCell">
        <xdr:from>
          <xdr:col>0</xdr:col>
          <xdr:colOff>82550</xdr:colOff>
          <xdr:row>1</xdr:row>
          <xdr:rowOff>101600</xdr:rowOff>
        </xdr:from>
        <xdr:to>
          <xdr:col>8</xdr:col>
          <xdr:colOff>622300</xdr:colOff>
          <xdr:row>15</xdr:row>
          <xdr:rowOff>977900</xdr:rowOff>
        </xdr:to>
        <xdr:pic>
          <xdr:nvPicPr>
            <xdr:cNvPr id="87064" name="Picture 11">
              <a:extLst>
                <a:ext uri="{FF2B5EF4-FFF2-40B4-BE49-F238E27FC236}">
                  <a16:creationId xmlns:a16="http://schemas.microsoft.com/office/drawing/2014/main" id="{79B8C347-D493-B504-43DB-AC15E8DCACFA}"/>
                </a:ext>
              </a:extLst>
            </xdr:cNvPr>
            <xdr:cNvPicPr>
              <a:picLocks noChangeAspect="1" noChangeArrowheads="1"/>
              <a:extLst>
                <a:ext uri="{84589F7E-364E-4C9E-8A38-B11213B215E9}">
                  <a14:cameraTool cellRange="$J$4:$O$16" spid="_x0000_s87076"/>
                </a:ext>
              </a:extLst>
            </xdr:cNvPicPr>
          </xdr:nvPicPr>
          <xdr:blipFill>
            <a:blip xmlns:r="http://schemas.openxmlformats.org/officeDocument/2006/relationships" r:embed="rId1"/>
            <a:srcRect/>
            <a:stretch>
              <a:fillRect/>
            </a:stretch>
          </xdr:blipFill>
          <xdr:spPr bwMode="auto">
            <a:xfrm>
              <a:off x="82550" y="260350"/>
              <a:ext cx="6426200" cy="41338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0</xdr:col>
      <xdr:colOff>60960</xdr:colOff>
      <xdr:row>16</xdr:row>
      <xdr:rowOff>7620</xdr:rowOff>
    </xdr:from>
    <xdr:to>
      <xdr:col>3</xdr:col>
      <xdr:colOff>0</xdr:colOff>
      <xdr:row>18</xdr:row>
      <xdr:rowOff>45720</xdr:rowOff>
    </xdr:to>
    <xdr:sp macro="" textlink="">
      <xdr:nvSpPr>
        <xdr:cNvPr id="7180" name="Text Box 12">
          <a:extLst>
            <a:ext uri="{FF2B5EF4-FFF2-40B4-BE49-F238E27FC236}">
              <a16:creationId xmlns:a16="http://schemas.microsoft.com/office/drawing/2014/main" id="{0A8A39FF-4657-6131-11C1-07679E576669}"/>
            </a:ext>
          </a:extLst>
        </xdr:cNvPr>
        <xdr:cNvSpPr txBox="1">
          <a:spLocks noChangeArrowheads="1"/>
        </xdr:cNvSpPr>
      </xdr:nvSpPr>
      <xdr:spPr bwMode="auto">
        <a:xfrm>
          <a:off x="60960" y="4450080"/>
          <a:ext cx="2369820" cy="541020"/>
        </a:xfrm>
        <a:prstGeom prst="rect">
          <a:avLst/>
        </a:prstGeom>
        <a:solidFill>
          <a:srgbClr val="FFFFFF"/>
        </a:solidFill>
        <a:ln w="9525">
          <a:solidFill>
            <a:srgbClr val="000000"/>
          </a:solidFill>
          <a:miter lim="800000"/>
          <a:headEnd/>
          <a:tailEnd/>
        </a:ln>
      </xdr:spPr>
      <xdr:txBody>
        <a:bodyPr vertOverflow="clip" wrap="square" lIns="0" tIns="45720" rIns="0" bIns="45720" anchor="t" upright="1"/>
        <a:lstStyle/>
        <a:p>
          <a:pPr algn="ctr" rtl="0">
            <a:defRPr sz="1000"/>
          </a:pPr>
          <a:r>
            <a:rPr lang="en-US" sz="1400" b="0" i="0" u="none" strike="noStrike" baseline="0">
              <a:solidFill>
                <a:srgbClr val="000000"/>
              </a:solidFill>
              <a:latin typeface="Times New Roman"/>
              <a:cs typeface="Times New Roman"/>
            </a:rPr>
            <a:t>Refill Times for Different Soil Textures and Micro Systems</a:t>
          </a:r>
        </a:p>
        <a:p>
          <a:pPr algn="ctr" rtl="0">
            <a:defRPr sz="1000"/>
          </a:pPr>
          <a:endParaRPr lang="en-US" sz="1400" b="0" i="0" u="none" strike="noStrike" baseline="0">
            <a:solidFill>
              <a:srgbClr val="000000"/>
            </a:solidFill>
            <a:latin typeface="Times New Roman"/>
            <a:cs typeface="Times New Roman"/>
          </a:endParaRPr>
        </a:p>
      </xdr:txBody>
    </xdr:sp>
    <xdr:clientData/>
  </xdr:twoCellAnchor>
  <xdr:twoCellAnchor>
    <xdr:from>
      <xdr:col>18</xdr:col>
      <xdr:colOff>120650</xdr:colOff>
      <xdr:row>25</xdr:row>
      <xdr:rowOff>190500</xdr:rowOff>
    </xdr:from>
    <xdr:to>
      <xdr:col>25</xdr:col>
      <xdr:colOff>69850</xdr:colOff>
      <xdr:row>33</xdr:row>
      <xdr:rowOff>6350</xdr:rowOff>
    </xdr:to>
    <xdr:sp macro="" textlink="">
      <xdr:nvSpPr>
        <xdr:cNvPr id="87066" name="Oval 13">
          <a:extLst>
            <a:ext uri="{FF2B5EF4-FFF2-40B4-BE49-F238E27FC236}">
              <a16:creationId xmlns:a16="http://schemas.microsoft.com/office/drawing/2014/main" id="{477B89C4-0AD7-07C9-1921-78A276A4CD54}"/>
            </a:ext>
          </a:extLst>
        </xdr:cNvPr>
        <xdr:cNvSpPr>
          <a:spLocks noChangeArrowheads="1"/>
        </xdr:cNvSpPr>
      </xdr:nvSpPr>
      <xdr:spPr bwMode="auto">
        <a:xfrm>
          <a:off x="12998450" y="7315200"/>
          <a:ext cx="1416050" cy="13906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35</xdr:col>
      <xdr:colOff>482600</xdr:colOff>
      <xdr:row>25</xdr:row>
      <xdr:rowOff>6350</xdr:rowOff>
    </xdr:from>
    <xdr:to>
      <xdr:col>38</xdr:col>
      <xdr:colOff>19050</xdr:colOff>
      <xdr:row>32</xdr:row>
      <xdr:rowOff>31750</xdr:rowOff>
    </xdr:to>
    <xdr:sp macro="" textlink="">
      <xdr:nvSpPr>
        <xdr:cNvPr id="87067" name="Oval 14">
          <a:extLst>
            <a:ext uri="{FF2B5EF4-FFF2-40B4-BE49-F238E27FC236}">
              <a16:creationId xmlns:a16="http://schemas.microsoft.com/office/drawing/2014/main" id="{C143BA90-EF7D-F84E-8882-571A8C63E3B1}"/>
            </a:ext>
          </a:extLst>
        </xdr:cNvPr>
        <xdr:cNvSpPr>
          <a:spLocks noChangeArrowheads="1"/>
        </xdr:cNvSpPr>
      </xdr:nvSpPr>
      <xdr:spPr bwMode="auto">
        <a:xfrm>
          <a:off x="16922750" y="7131050"/>
          <a:ext cx="1460500" cy="1403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29</xdr:col>
      <xdr:colOff>0</xdr:colOff>
      <xdr:row>25</xdr:row>
      <xdr:rowOff>190500</xdr:rowOff>
    </xdr:from>
    <xdr:to>
      <xdr:col>35</xdr:col>
      <xdr:colOff>12700</xdr:colOff>
      <xdr:row>32</xdr:row>
      <xdr:rowOff>0</xdr:rowOff>
    </xdr:to>
    <xdr:sp macro="" textlink="">
      <xdr:nvSpPr>
        <xdr:cNvPr id="87068" name="Oval 16">
          <a:extLst>
            <a:ext uri="{FF2B5EF4-FFF2-40B4-BE49-F238E27FC236}">
              <a16:creationId xmlns:a16="http://schemas.microsoft.com/office/drawing/2014/main" id="{39A3917D-D45C-7F8D-2489-385F686ACCC5}"/>
            </a:ext>
          </a:extLst>
        </xdr:cNvPr>
        <xdr:cNvSpPr>
          <a:spLocks noChangeArrowheads="1"/>
        </xdr:cNvSpPr>
      </xdr:nvSpPr>
      <xdr:spPr bwMode="auto">
        <a:xfrm>
          <a:off x="15182850" y="7315200"/>
          <a:ext cx="1270000" cy="1187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25</xdr:col>
      <xdr:colOff>0</xdr:colOff>
      <xdr:row>25</xdr:row>
      <xdr:rowOff>190500</xdr:rowOff>
    </xdr:from>
    <xdr:to>
      <xdr:col>31</xdr:col>
      <xdr:colOff>12700</xdr:colOff>
      <xdr:row>32</xdr:row>
      <xdr:rowOff>0</xdr:rowOff>
    </xdr:to>
    <xdr:sp macro="" textlink="">
      <xdr:nvSpPr>
        <xdr:cNvPr id="87069" name="Oval 17">
          <a:extLst>
            <a:ext uri="{FF2B5EF4-FFF2-40B4-BE49-F238E27FC236}">
              <a16:creationId xmlns:a16="http://schemas.microsoft.com/office/drawing/2014/main" id="{D298D572-122F-A6E4-C3EF-C7DF4E09F4DE}"/>
            </a:ext>
          </a:extLst>
        </xdr:cNvPr>
        <xdr:cNvSpPr>
          <a:spLocks noChangeArrowheads="1"/>
        </xdr:cNvSpPr>
      </xdr:nvSpPr>
      <xdr:spPr bwMode="auto">
        <a:xfrm>
          <a:off x="14344650" y="7315200"/>
          <a:ext cx="1270000" cy="1187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239395</xdr:colOff>
      <xdr:row>18</xdr:row>
      <xdr:rowOff>43815</xdr:rowOff>
    </xdr:from>
    <xdr:to>
      <xdr:col>8</xdr:col>
      <xdr:colOff>587370</xdr:colOff>
      <xdr:row>18</xdr:row>
      <xdr:rowOff>337729</xdr:rowOff>
    </xdr:to>
    <xdr:sp macro="" textlink="">
      <xdr:nvSpPr>
        <xdr:cNvPr id="7186" name="Text Box 18">
          <a:extLst>
            <a:ext uri="{FF2B5EF4-FFF2-40B4-BE49-F238E27FC236}">
              <a16:creationId xmlns:a16="http://schemas.microsoft.com/office/drawing/2014/main" id="{D659CC08-7F9E-C428-2E89-3C1B12DB1779}"/>
            </a:ext>
          </a:extLst>
        </xdr:cNvPr>
        <xdr:cNvSpPr txBox="1">
          <a:spLocks noChangeArrowheads="1"/>
        </xdr:cNvSpPr>
      </xdr:nvSpPr>
      <xdr:spPr bwMode="auto">
        <a:xfrm>
          <a:off x="3329940" y="4998720"/>
          <a:ext cx="2987040" cy="274320"/>
        </a:xfrm>
        <a:prstGeom prst="rect">
          <a:avLst/>
        </a:prstGeom>
        <a:solidFill>
          <a:srgbClr val="FFFFFF"/>
        </a:solidFill>
        <a:ln w="9525">
          <a:solidFill>
            <a:srgbClr val="000000"/>
          </a:solidFill>
          <a:miter lim="800000"/>
          <a:headEnd/>
          <a:tailEnd/>
        </a:ln>
      </xdr:spPr>
      <xdr:txBody>
        <a:bodyPr vertOverflow="clip" wrap="square" lIns="0" tIns="0" rIns="0" bIns="0" anchor="ctr" upright="1"/>
        <a:lstStyle/>
        <a:p>
          <a:pPr algn="ctr" rtl="0">
            <a:defRPr sz="1000"/>
          </a:pPr>
          <a:r>
            <a:rPr lang="en-US" sz="1200" b="1" i="0" u="none" strike="noStrike" baseline="0">
              <a:solidFill>
                <a:srgbClr val="000000"/>
              </a:solidFill>
              <a:latin typeface="Times New Roman"/>
              <a:cs typeface="Times New Roman"/>
            </a:rPr>
            <a:t>ALMOND RDI </a:t>
          </a:r>
          <a:r>
            <a:rPr lang="en-US" sz="1400" b="1" i="0" u="none" strike="noStrike" baseline="0">
              <a:solidFill>
                <a:srgbClr val="000000"/>
              </a:solidFill>
              <a:latin typeface="Times New Roman"/>
              <a:cs typeface="Times New Roman"/>
            </a:rPr>
            <a:t>0.25 inch/day ET</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82550</xdr:colOff>
          <xdr:row>1</xdr:row>
          <xdr:rowOff>101600</xdr:rowOff>
        </xdr:from>
        <xdr:to>
          <xdr:col>8</xdr:col>
          <xdr:colOff>520700</xdr:colOff>
          <xdr:row>15</xdr:row>
          <xdr:rowOff>977900</xdr:rowOff>
        </xdr:to>
        <xdr:pic>
          <xdr:nvPicPr>
            <xdr:cNvPr id="82249" name="Picture 2">
              <a:extLst>
                <a:ext uri="{FF2B5EF4-FFF2-40B4-BE49-F238E27FC236}">
                  <a16:creationId xmlns:a16="http://schemas.microsoft.com/office/drawing/2014/main" id="{D36AECCB-84B2-EEC3-997A-F55927A0F7A6}"/>
                </a:ext>
              </a:extLst>
            </xdr:cNvPr>
            <xdr:cNvPicPr>
              <a:picLocks noChangeAspect="1" noChangeArrowheads="1"/>
              <a:extLst>
                <a:ext uri="{84589F7E-364E-4C9E-8A38-B11213B215E9}">
                  <a14:cameraTool cellRange="$J$4:$O$16" spid="_x0000_s82309"/>
                </a:ext>
              </a:extLst>
            </xdr:cNvPicPr>
          </xdr:nvPicPr>
          <xdr:blipFill>
            <a:blip xmlns:r="http://schemas.openxmlformats.org/officeDocument/2006/relationships" r:embed="rId1"/>
            <a:srcRect/>
            <a:stretch>
              <a:fillRect/>
            </a:stretch>
          </xdr:blipFill>
          <xdr:spPr bwMode="auto">
            <a:xfrm>
              <a:off x="82550" y="260350"/>
              <a:ext cx="6419850" cy="41338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20</xdr:col>
      <xdr:colOff>50800</xdr:colOff>
      <xdr:row>43</xdr:row>
      <xdr:rowOff>133350</xdr:rowOff>
    </xdr:from>
    <xdr:to>
      <xdr:col>27</xdr:col>
      <xdr:colOff>0</xdr:colOff>
      <xdr:row>52</xdr:row>
      <xdr:rowOff>44450</xdr:rowOff>
    </xdr:to>
    <xdr:sp macro="" textlink="">
      <xdr:nvSpPr>
        <xdr:cNvPr id="82250" name="Oval 4">
          <a:extLst>
            <a:ext uri="{FF2B5EF4-FFF2-40B4-BE49-F238E27FC236}">
              <a16:creationId xmlns:a16="http://schemas.microsoft.com/office/drawing/2014/main" id="{797908FB-9EBA-80B4-D108-3705B3C2B569}"/>
            </a:ext>
          </a:extLst>
        </xdr:cNvPr>
        <xdr:cNvSpPr>
          <a:spLocks noChangeArrowheads="1"/>
        </xdr:cNvSpPr>
      </xdr:nvSpPr>
      <xdr:spPr bwMode="auto">
        <a:xfrm>
          <a:off x="13481050" y="10814050"/>
          <a:ext cx="1416050" cy="13398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40</xdr:col>
      <xdr:colOff>279400</xdr:colOff>
      <xdr:row>29</xdr:row>
      <xdr:rowOff>133350</xdr:rowOff>
    </xdr:from>
    <xdr:to>
      <xdr:col>41</xdr:col>
      <xdr:colOff>19050</xdr:colOff>
      <xdr:row>36</xdr:row>
      <xdr:rowOff>152400</xdr:rowOff>
    </xdr:to>
    <xdr:sp macro="" textlink="">
      <xdr:nvSpPr>
        <xdr:cNvPr id="82251" name="Oval 5">
          <a:extLst>
            <a:ext uri="{FF2B5EF4-FFF2-40B4-BE49-F238E27FC236}">
              <a16:creationId xmlns:a16="http://schemas.microsoft.com/office/drawing/2014/main" id="{03DAC49D-ABFD-956A-0289-FFA30B0EA617}"/>
            </a:ext>
          </a:extLst>
        </xdr:cNvPr>
        <xdr:cNvSpPr>
          <a:spLocks noChangeArrowheads="1"/>
        </xdr:cNvSpPr>
      </xdr:nvSpPr>
      <xdr:spPr bwMode="auto">
        <a:xfrm>
          <a:off x="18764250" y="8108950"/>
          <a:ext cx="381000" cy="1441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33</xdr:col>
      <xdr:colOff>158750</xdr:colOff>
      <xdr:row>44</xdr:row>
      <xdr:rowOff>139700</xdr:rowOff>
    </xdr:from>
    <xdr:to>
      <xdr:col>36</xdr:col>
      <xdr:colOff>387350</xdr:colOff>
      <xdr:row>52</xdr:row>
      <xdr:rowOff>19050</xdr:rowOff>
    </xdr:to>
    <xdr:sp macro="" textlink="">
      <xdr:nvSpPr>
        <xdr:cNvPr id="82252" name="Oval 6">
          <a:extLst>
            <a:ext uri="{FF2B5EF4-FFF2-40B4-BE49-F238E27FC236}">
              <a16:creationId xmlns:a16="http://schemas.microsoft.com/office/drawing/2014/main" id="{06DEF85C-273C-3565-0F85-EA4C972499B9}"/>
            </a:ext>
          </a:extLst>
        </xdr:cNvPr>
        <xdr:cNvSpPr>
          <a:spLocks noChangeArrowheads="1"/>
        </xdr:cNvSpPr>
      </xdr:nvSpPr>
      <xdr:spPr bwMode="auto">
        <a:xfrm>
          <a:off x="16313150" y="10979150"/>
          <a:ext cx="679450" cy="1149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107950</xdr:colOff>
          <xdr:row>34</xdr:row>
          <xdr:rowOff>133350</xdr:rowOff>
        </xdr:from>
        <xdr:to>
          <xdr:col>10</xdr:col>
          <xdr:colOff>139700</xdr:colOff>
          <xdr:row>59</xdr:row>
          <xdr:rowOff>139700</xdr:rowOff>
        </xdr:to>
        <xdr:pic>
          <xdr:nvPicPr>
            <xdr:cNvPr id="82253" name="Picture 8">
              <a:extLst>
                <a:ext uri="{FF2B5EF4-FFF2-40B4-BE49-F238E27FC236}">
                  <a16:creationId xmlns:a16="http://schemas.microsoft.com/office/drawing/2014/main" id="{75594892-A70C-2522-96B2-145D1E675CBE}"/>
                </a:ext>
              </a:extLst>
            </xdr:cNvPr>
            <xdr:cNvPicPr>
              <a:picLocks noChangeAspect="1" noChangeArrowheads="1"/>
              <a:extLst>
                <a:ext uri="{84589F7E-364E-4C9E-8A38-B11213B215E9}">
                  <a14:cameraTool cellRange="$A$17:$I$33" spid="_x0000_s82310"/>
                </a:ext>
              </a:extLst>
            </xdr:cNvPicPr>
          </xdr:nvPicPr>
          <xdr:blipFill>
            <a:blip xmlns:r="http://schemas.openxmlformats.org/officeDocument/2006/relationships" r:embed="rId2"/>
            <a:srcRect/>
            <a:stretch>
              <a:fillRect/>
            </a:stretch>
          </xdr:blipFill>
          <xdr:spPr bwMode="auto">
            <a:xfrm>
              <a:off x="1333500" y="9124950"/>
              <a:ext cx="6673850" cy="42354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3</xdr:col>
      <xdr:colOff>60960</xdr:colOff>
      <xdr:row>16</xdr:row>
      <xdr:rowOff>74930</xdr:rowOff>
    </xdr:from>
    <xdr:to>
      <xdr:col>8</xdr:col>
      <xdr:colOff>570813</xdr:colOff>
      <xdr:row>18</xdr:row>
      <xdr:rowOff>76218</xdr:rowOff>
    </xdr:to>
    <xdr:sp macro="" textlink="">
      <xdr:nvSpPr>
        <xdr:cNvPr id="8201" name="Text Box 9">
          <a:extLst>
            <a:ext uri="{FF2B5EF4-FFF2-40B4-BE49-F238E27FC236}">
              <a16:creationId xmlns:a16="http://schemas.microsoft.com/office/drawing/2014/main" id="{C235B2E3-2270-EC4C-DA25-216A54A8079B}"/>
            </a:ext>
          </a:extLst>
        </xdr:cNvPr>
        <xdr:cNvSpPr txBox="1">
          <a:spLocks noChangeArrowheads="1"/>
        </xdr:cNvSpPr>
      </xdr:nvSpPr>
      <xdr:spPr bwMode="auto">
        <a:xfrm>
          <a:off x="2590800" y="4511040"/>
          <a:ext cx="3802380" cy="510540"/>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32004" rIns="27432" bIns="0" anchor="t" upright="1"/>
        <a:lstStyle/>
        <a:p>
          <a:pPr algn="ctr" rtl="0">
            <a:defRPr sz="1000"/>
          </a:pPr>
          <a:r>
            <a:rPr lang="en-US" sz="1200" b="1" i="0" u="none" strike="noStrike" baseline="30000">
              <a:solidFill>
                <a:srgbClr val="000000"/>
              </a:solidFill>
              <a:latin typeface="Arial"/>
              <a:cs typeface="Arial"/>
            </a:rPr>
            <a:t>1</a:t>
          </a:r>
          <a:r>
            <a:rPr lang="en-US" sz="1200" b="1" i="0" u="none" strike="noStrike" baseline="0">
              <a:solidFill>
                <a:srgbClr val="000000"/>
              </a:solidFill>
              <a:latin typeface="Arial"/>
              <a:cs typeface="Arial"/>
            </a:rPr>
            <a:t>Irrigation Time to Refill &amp; Moisture Reserve of</a:t>
          </a:r>
        </a:p>
        <a:p>
          <a:pPr algn="ctr" rtl="0">
            <a:defRPr sz="1000"/>
          </a:pPr>
          <a:r>
            <a:rPr lang="en-US" sz="1200" b="1" i="0" u="none" strike="noStrike" baseline="0">
              <a:solidFill>
                <a:srgbClr val="000000"/>
              </a:solidFill>
              <a:latin typeface="Arial"/>
              <a:cs typeface="Arial"/>
            </a:rPr>
            <a:t>4 Foot Wetted Rootzone @ 50% to 100% Available</a:t>
          </a:r>
        </a:p>
      </xdr:txBody>
    </xdr:sp>
    <xdr:clientData/>
  </xdr:twoCellAnchor>
  <mc:AlternateContent xmlns:mc="http://schemas.openxmlformats.org/markup-compatibility/2006">
    <mc:Choice xmlns:a14="http://schemas.microsoft.com/office/drawing/2010/main" Requires="a14">
      <xdr:twoCellAnchor editAs="oneCell">
        <xdr:from>
          <xdr:col>0</xdr:col>
          <xdr:colOff>82550</xdr:colOff>
          <xdr:row>1</xdr:row>
          <xdr:rowOff>101600</xdr:rowOff>
        </xdr:from>
        <xdr:to>
          <xdr:col>8</xdr:col>
          <xdr:colOff>520700</xdr:colOff>
          <xdr:row>15</xdr:row>
          <xdr:rowOff>977900</xdr:rowOff>
        </xdr:to>
        <xdr:pic>
          <xdr:nvPicPr>
            <xdr:cNvPr id="82255" name="Picture 10">
              <a:extLst>
                <a:ext uri="{FF2B5EF4-FFF2-40B4-BE49-F238E27FC236}">
                  <a16:creationId xmlns:a16="http://schemas.microsoft.com/office/drawing/2014/main" id="{F6E6CACB-60E8-36DA-381E-70869449A7B5}"/>
                </a:ext>
              </a:extLst>
            </xdr:cNvPr>
            <xdr:cNvPicPr>
              <a:picLocks noChangeAspect="1" noChangeArrowheads="1"/>
              <a:extLst>
                <a:ext uri="{84589F7E-364E-4C9E-8A38-B11213B215E9}">
                  <a14:cameraTool cellRange="$J$4:$O$16" spid="_x0000_s82311"/>
                </a:ext>
              </a:extLst>
            </xdr:cNvPicPr>
          </xdr:nvPicPr>
          <xdr:blipFill>
            <a:blip xmlns:r="http://schemas.openxmlformats.org/officeDocument/2006/relationships" r:embed="rId3"/>
            <a:srcRect/>
            <a:stretch>
              <a:fillRect/>
            </a:stretch>
          </xdr:blipFill>
          <xdr:spPr bwMode="auto">
            <a:xfrm>
              <a:off x="82550" y="260350"/>
              <a:ext cx="6419850" cy="41338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0</xdr:col>
      <xdr:colOff>120015</xdr:colOff>
      <xdr:row>16</xdr:row>
      <xdr:rowOff>38100</xdr:rowOff>
    </xdr:from>
    <xdr:to>
      <xdr:col>3</xdr:col>
      <xdr:colOff>22891</xdr:colOff>
      <xdr:row>18</xdr:row>
      <xdr:rowOff>76200</xdr:rowOff>
    </xdr:to>
    <xdr:sp macro="" textlink="">
      <xdr:nvSpPr>
        <xdr:cNvPr id="8203" name="Text Box 11">
          <a:extLst>
            <a:ext uri="{FF2B5EF4-FFF2-40B4-BE49-F238E27FC236}">
              <a16:creationId xmlns:a16="http://schemas.microsoft.com/office/drawing/2014/main" id="{D827C87E-484B-9D74-7CEA-A772E66046DC}"/>
            </a:ext>
          </a:extLst>
        </xdr:cNvPr>
        <xdr:cNvSpPr txBox="1">
          <a:spLocks noChangeArrowheads="1"/>
        </xdr:cNvSpPr>
      </xdr:nvSpPr>
      <xdr:spPr bwMode="auto">
        <a:xfrm>
          <a:off x="129540" y="4480560"/>
          <a:ext cx="2423160" cy="541020"/>
        </a:xfrm>
        <a:prstGeom prst="rect">
          <a:avLst/>
        </a:prstGeom>
        <a:solidFill>
          <a:srgbClr val="FFFFFF"/>
        </a:solidFill>
        <a:ln w="9525">
          <a:solidFill>
            <a:srgbClr val="000000"/>
          </a:solidFill>
          <a:miter lim="800000"/>
          <a:headEnd/>
          <a:tailEnd/>
        </a:ln>
      </xdr:spPr>
      <xdr:txBody>
        <a:bodyPr vertOverflow="clip" wrap="square" lIns="0" tIns="45720" rIns="0" bIns="45720" anchor="t" upright="1"/>
        <a:lstStyle/>
        <a:p>
          <a:pPr algn="ctr" rtl="0">
            <a:defRPr sz="1000"/>
          </a:pPr>
          <a:r>
            <a:rPr lang="en-US" sz="1400" b="0" i="0" u="none" strike="noStrike" baseline="0">
              <a:solidFill>
                <a:srgbClr val="000000"/>
              </a:solidFill>
              <a:latin typeface="Times New Roman"/>
              <a:cs typeface="Times New Roman"/>
            </a:rPr>
            <a:t>Refill Times for Different Soil Textures and Micro Systems</a:t>
          </a:r>
        </a:p>
        <a:p>
          <a:pPr algn="ctr" rtl="0">
            <a:defRPr sz="1000"/>
          </a:pPr>
          <a:endParaRPr lang="en-US" sz="1400" b="0" i="0" u="none" strike="noStrike" baseline="0">
            <a:solidFill>
              <a:srgbClr val="000000"/>
            </a:solidFill>
            <a:latin typeface="Times New Roman"/>
            <a:cs typeface="Times New Roman"/>
          </a:endParaRPr>
        </a:p>
      </xdr:txBody>
    </xdr:sp>
    <xdr:clientData/>
  </xdr:twoCellAnchor>
  <xdr:twoCellAnchor>
    <xdr:from>
      <xdr:col>15</xdr:col>
      <xdr:colOff>158750</xdr:colOff>
      <xdr:row>41</xdr:row>
      <xdr:rowOff>19050</xdr:rowOff>
    </xdr:from>
    <xdr:to>
      <xdr:col>22</xdr:col>
      <xdr:colOff>120650</xdr:colOff>
      <xdr:row>49</xdr:row>
      <xdr:rowOff>82550</xdr:rowOff>
    </xdr:to>
    <xdr:sp macro="" textlink="">
      <xdr:nvSpPr>
        <xdr:cNvPr id="82257" name="Oval 12">
          <a:extLst>
            <a:ext uri="{FF2B5EF4-FFF2-40B4-BE49-F238E27FC236}">
              <a16:creationId xmlns:a16="http://schemas.microsoft.com/office/drawing/2014/main" id="{2785ED79-2DA3-3F7B-772F-6AD35C88522E}"/>
            </a:ext>
          </a:extLst>
        </xdr:cNvPr>
        <xdr:cNvSpPr>
          <a:spLocks noChangeArrowheads="1"/>
        </xdr:cNvSpPr>
      </xdr:nvSpPr>
      <xdr:spPr bwMode="auto">
        <a:xfrm>
          <a:off x="12541250" y="10382250"/>
          <a:ext cx="1428750" cy="133350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40</xdr:col>
      <xdr:colOff>209550</xdr:colOff>
      <xdr:row>38</xdr:row>
      <xdr:rowOff>95250</xdr:rowOff>
    </xdr:from>
    <xdr:to>
      <xdr:col>41</xdr:col>
      <xdr:colOff>558800</xdr:colOff>
      <xdr:row>46</xdr:row>
      <xdr:rowOff>44450</xdr:rowOff>
    </xdr:to>
    <xdr:sp macro="" textlink="">
      <xdr:nvSpPr>
        <xdr:cNvPr id="82258" name="Oval 13">
          <a:extLst>
            <a:ext uri="{FF2B5EF4-FFF2-40B4-BE49-F238E27FC236}">
              <a16:creationId xmlns:a16="http://schemas.microsoft.com/office/drawing/2014/main" id="{B8F478C1-6D1A-805B-A856-E8BFDD2477F7}"/>
            </a:ext>
          </a:extLst>
        </xdr:cNvPr>
        <xdr:cNvSpPr>
          <a:spLocks noChangeArrowheads="1"/>
        </xdr:cNvSpPr>
      </xdr:nvSpPr>
      <xdr:spPr bwMode="auto">
        <a:xfrm>
          <a:off x="18694400" y="9899650"/>
          <a:ext cx="990600" cy="13017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30</xdr:col>
      <xdr:colOff>127000</xdr:colOff>
      <xdr:row>41</xdr:row>
      <xdr:rowOff>63500</xdr:rowOff>
    </xdr:from>
    <xdr:to>
      <xdr:col>35</xdr:col>
      <xdr:colOff>349250</xdr:colOff>
      <xdr:row>48</xdr:row>
      <xdr:rowOff>101600</xdr:rowOff>
    </xdr:to>
    <xdr:sp macro="" textlink="">
      <xdr:nvSpPr>
        <xdr:cNvPr id="82259" name="Oval 14">
          <a:extLst>
            <a:ext uri="{FF2B5EF4-FFF2-40B4-BE49-F238E27FC236}">
              <a16:creationId xmlns:a16="http://schemas.microsoft.com/office/drawing/2014/main" id="{AED7CB9F-A571-1653-1DAA-3D23FB4B788A}"/>
            </a:ext>
          </a:extLst>
        </xdr:cNvPr>
        <xdr:cNvSpPr>
          <a:spLocks noChangeArrowheads="1"/>
        </xdr:cNvSpPr>
      </xdr:nvSpPr>
      <xdr:spPr bwMode="auto">
        <a:xfrm>
          <a:off x="15652750" y="10426700"/>
          <a:ext cx="1130300" cy="1149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38</xdr:col>
      <xdr:colOff>488950</xdr:colOff>
      <xdr:row>43</xdr:row>
      <xdr:rowOff>25400</xdr:rowOff>
    </xdr:from>
    <xdr:to>
      <xdr:col>39</xdr:col>
      <xdr:colOff>222250</xdr:colOff>
      <xdr:row>50</xdr:row>
      <xdr:rowOff>63500</xdr:rowOff>
    </xdr:to>
    <xdr:sp macro="" textlink="">
      <xdr:nvSpPr>
        <xdr:cNvPr id="82260" name="Oval 15">
          <a:extLst>
            <a:ext uri="{FF2B5EF4-FFF2-40B4-BE49-F238E27FC236}">
              <a16:creationId xmlns:a16="http://schemas.microsoft.com/office/drawing/2014/main" id="{CE467D74-8EBA-760F-1E7A-A7CEC66F2438}"/>
            </a:ext>
          </a:extLst>
        </xdr:cNvPr>
        <xdr:cNvSpPr>
          <a:spLocks noChangeArrowheads="1"/>
        </xdr:cNvSpPr>
      </xdr:nvSpPr>
      <xdr:spPr bwMode="auto">
        <a:xfrm>
          <a:off x="17691100" y="10706100"/>
          <a:ext cx="374650" cy="1149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4</xdr:col>
      <xdr:colOff>82550</xdr:colOff>
      <xdr:row>18</xdr:row>
      <xdr:rowOff>102235</xdr:rowOff>
    </xdr:from>
    <xdr:to>
      <xdr:col>8</xdr:col>
      <xdr:colOff>629904</xdr:colOff>
      <xdr:row>18</xdr:row>
      <xdr:rowOff>343034</xdr:rowOff>
    </xdr:to>
    <xdr:sp macro="" textlink="">
      <xdr:nvSpPr>
        <xdr:cNvPr id="8209" name="Text Box 17">
          <a:extLst>
            <a:ext uri="{FF2B5EF4-FFF2-40B4-BE49-F238E27FC236}">
              <a16:creationId xmlns:a16="http://schemas.microsoft.com/office/drawing/2014/main" id="{40E4C95C-5EFF-9922-CDB6-7DA484956B80}"/>
            </a:ext>
          </a:extLst>
        </xdr:cNvPr>
        <xdr:cNvSpPr txBox="1">
          <a:spLocks noChangeArrowheads="1"/>
        </xdr:cNvSpPr>
      </xdr:nvSpPr>
      <xdr:spPr bwMode="auto">
        <a:xfrm>
          <a:off x="3268980" y="5044440"/>
          <a:ext cx="3192780" cy="243840"/>
        </a:xfrm>
        <a:prstGeom prst="rect">
          <a:avLst/>
        </a:prstGeom>
        <a:solidFill>
          <a:srgbClr val="FFFFFF"/>
        </a:solidFill>
        <a:ln w="9525">
          <a:solidFill>
            <a:srgbClr val="000000"/>
          </a:solidFill>
          <a:miter lim="800000"/>
          <a:headEnd/>
          <a:tailEnd/>
        </a:ln>
      </xdr:spPr>
      <xdr:txBody>
        <a:bodyPr vertOverflow="clip" wrap="square" lIns="0" tIns="0" rIns="0" bIns="0" anchor="ctr" upright="1"/>
        <a:lstStyle/>
        <a:p>
          <a:pPr algn="ctr" rtl="0">
            <a:defRPr sz="1000"/>
          </a:pPr>
          <a:r>
            <a:rPr lang="en-US" sz="1400" b="1" i="0" u="none" strike="noStrike" baseline="0">
              <a:solidFill>
                <a:srgbClr val="000000"/>
              </a:solidFill>
              <a:latin typeface="Times New Roman"/>
              <a:cs typeface="Times New Roman"/>
            </a:rPr>
            <a:t>CITRUS </a:t>
          </a:r>
          <a:r>
            <a:rPr lang="en-US" sz="1200" b="1" i="0" u="none" strike="noStrike" baseline="0">
              <a:solidFill>
                <a:srgbClr val="000000"/>
              </a:solidFill>
              <a:latin typeface="Times New Roman"/>
              <a:cs typeface="Times New Roman"/>
            </a:rPr>
            <a:t>(almond RDI) </a:t>
          </a:r>
          <a:r>
            <a:rPr lang="en-US" sz="1400" b="1" i="0" u="none" strike="noStrike" baseline="0">
              <a:solidFill>
                <a:srgbClr val="000000"/>
              </a:solidFill>
              <a:latin typeface="Times New Roman"/>
              <a:cs typeface="Times New Roman"/>
            </a:rPr>
            <a:t>0.20 inch/day ET</a:t>
          </a:r>
        </a:p>
      </xdr:txBody>
    </xdr:sp>
    <xdr:clientData/>
  </xdr:twoCellAnchor>
  <xdr:twoCellAnchor>
    <xdr:from>
      <xdr:col>18</xdr:col>
      <xdr:colOff>177800</xdr:colOff>
      <xdr:row>18</xdr:row>
      <xdr:rowOff>977900</xdr:rowOff>
    </xdr:from>
    <xdr:to>
      <xdr:col>19</xdr:col>
      <xdr:colOff>50800</xdr:colOff>
      <xdr:row>40</xdr:row>
      <xdr:rowOff>6350</xdr:rowOff>
    </xdr:to>
    <xdr:sp macro="" textlink="">
      <xdr:nvSpPr>
        <xdr:cNvPr id="82262" name="Freeform 3">
          <a:extLst>
            <a:ext uri="{FF2B5EF4-FFF2-40B4-BE49-F238E27FC236}">
              <a16:creationId xmlns:a16="http://schemas.microsoft.com/office/drawing/2014/main" id="{52F4BDF9-76B3-C6D7-F004-415EE5B8A954}"/>
            </a:ext>
          </a:extLst>
        </xdr:cNvPr>
        <xdr:cNvSpPr>
          <a:spLocks/>
        </xdr:cNvSpPr>
      </xdr:nvSpPr>
      <xdr:spPr bwMode="auto">
        <a:xfrm>
          <a:off x="13188950" y="5892800"/>
          <a:ext cx="82550" cy="4318000"/>
        </a:xfrm>
        <a:custGeom>
          <a:avLst/>
          <a:gdLst>
            <a:gd name="T0" fmla="*/ 25030 w 87231"/>
            <a:gd name="T1" fmla="*/ 0 h 4158343"/>
            <a:gd name="T2" fmla="*/ 16724 w 87231"/>
            <a:gd name="T3" fmla="*/ 1072727 h 4158343"/>
            <a:gd name="T4" fmla="*/ 49950 w 87231"/>
            <a:gd name="T5" fmla="*/ 2339458 h 4158343"/>
            <a:gd name="T6" fmla="*/ 111 w 87231"/>
            <a:gd name="T7" fmla="*/ 3583364 h 4158343"/>
            <a:gd name="T8" fmla="*/ 66564 w 87231"/>
            <a:gd name="T9" fmla="*/ 4359380 h 415834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87231" h="4158343">
              <a:moveTo>
                <a:pt x="32802" y="0"/>
              </a:moveTo>
              <a:cubicBezTo>
                <a:pt x="24637" y="325664"/>
                <a:pt x="16473" y="651328"/>
                <a:pt x="21916" y="1023257"/>
              </a:cubicBezTo>
              <a:cubicBezTo>
                <a:pt x="27359" y="1395186"/>
                <a:pt x="69087" y="1832429"/>
                <a:pt x="65459" y="2231572"/>
              </a:cubicBezTo>
              <a:cubicBezTo>
                <a:pt x="61831" y="2630715"/>
                <a:pt x="-3484" y="3096986"/>
                <a:pt x="145" y="3418114"/>
              </a:cubicBezTo>
              <a:cubicBezTo>
                <a:pt x="3774" y="3739242"/>
                <a:pt x="45502" y="3948792"/>
                <a:pt x="87231" y="4158343"/>
              </a:cubicBezTo>
            </a:path>
          </a:pathLst>
        </a:custGeom>
        <a:noFill/>
        <a:ln w="254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21</xdr:col>
      <xdr:colOff>190500</xdr:colOff>
      <xdr:row>18</xdr:row>
      <xdr:rowOff>914400</xdr:rowOff>
    </xdr:from>
    <xdr:to>
      <xdr:col>22</xdr:col>
      <xdr:colOff>69850</xdr:colOff>
      <xdr:row>39</xdr:row>
      <xdr:rowOff>146050</xdr:rowOff>
    </xdr:to>
    <xdr:sp macro="" textlink="">
      <xdr:nvSpPr>
        <xdr:cNvPr id="82263" name="Freeform 18">
          <a:extLst>
            <a:ext uri="{FF2B5EF4-FFF2-40B4-BE49-F238E27FC236}">
              <a16:creationId xmlns:a16="http://schemas.microsoft.com/office/drawing/2014/main" id="{4CCE5372-B969-C526-2F80-3D03DFBDD182}"/>
            </a:ext>
          </a:extLst>
        </xdr:cNvPr>
        <xdr:cNvSpPr>
          <a:spLocks/>
        </xdr:cNvSpPr>
      </xdr:nvSpPr>
      <xdr:spPr bwMode="auto">
        <a:xfrm>
          <a:off x="13830300" y="5829300"/>
          <a:ext cx="88900" cy="4324350"/>
        </a:xfrm>
        <a:custGeom>
          <a:avLst/>
          <a:gdLst>
            <a:gd name="T0" fmla="*/ 31679 w 87231"/>
            <a:gd name="T1" fmla="*/ 0 h 4158343"/>
            <a:gd name="T2" fmla="*/ 21166 w 87231"/>
            <a:gd name="T3" fmla="*/ 1072727 h 4158343"/>
            <a:gd name="T4" fmla="*/ 63218 w 87231"/>
            <a:gd name="T5" fmla="*/ 2339458 h 4158343"/>
            <a:gd name="T6" fmla="*/ 140 w 87231"/>
            <a:gd name="T7" fmla="*/ 3583364 h 4158343"/>
            <a:gd name="T8" fmla="*/ 84245 w 87231"/>
            <a:gd name="T9" fmla="*/ 4359380 h 415834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87231" h="4158343">
              <a:moveTo>
                <a:pt x="32802" y="0"/>
              </a:moveTo>
              <a:cubicBezTo>
                <a:pt x="24637" y="325664"/>
                <a:pt x="16473" y="651328"/>
                <a:pt x="21916" y="1023257"/>
              </a:cubicBezTo>
              <a:cubicBezTo>
                <a:pt x="27359" y="1395186"/>
                <a:pt x="69087" y="1832429"/>
                <a:pt x="65459" y="2231572"/>
              </a:cubicBezTo>
              <a:cubicBezTo>
                <a:pt x="61831" y="2630715"/>
                <a:pt x="-3484" y="3096986"/>
                <a:pt x="145" y="3418114"/>
              </a:cubicBezTo>
              <a:cubicBezTo>
                <a:pt x="3774" y="3739242"/>
                <a:pt x="45502" y="3948792"/>
                <a:pt x="87231" y="4158343"/>
              </a:cubicBezTo>
            </a:path>
          </a:pathLst>
        </a:custGeom>
        <a:noFill/>
        <a:ln w="254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29</xdr:col>
      <xdr:colOff>177800</xdr:colOff>
      <xdr:row>18</xdr:row>
      <xdr:rowOff>895350</xdr:rowOff>
    </xdr:from>
    <xdr:to>
      <xdr:col>30</xdr:col>
      <xdr:colOff>50800</xdr:colOff>
      <xdr:row>39</xdr:row>
      <xdr:rowOff>120650</xdr:rowOff>
    </xdr:to>
    <xdr:sp macro="" textlink="">
      <xdr:nvSpPr>
        <xdr:cNvPr id="82264" name="Freeform 19">
          <a:extLst>
            <a:ext uri="{FF2B5EF4-FFF2-40B4-BE49-F238E27FC236}">
              <a16:creationId xmlns:a16="http://schemas.microsoft.com/office/drawing/2014/main" id="{1F0FF13D-AE51-5656-8095-A949E0451CA8}"/>
            </a:ext>
          </a:extLst>
        </xdr:cNvPr>
        <xdr:cNvSpPr>
          <a:spLocks/>
        </xdr:cNvSpPr>
      </xdr:nvSpPr>
      <xdr:spPr bwMode="auto">
        <a:xfrm>
          <a:off x="15494000" y="5810250"/>
          <a:ext cx="82550" cy="4318000"/>
        </a:xfrm>
        <a:custGeom>
          <a:avLst/>
          <a:gdLst>
            <a:gd name="T0" fmla="*/ 25030 w 87231"/>
            <a:gd name="T1" fmla="*/ 0 h 4158343"/>
            <a:gd name="T2" fmla="*/ 16724 w 87231"/>
            <a:gd name="T3" fmla="*/ 1072727 h 4158343"/>
            <a:gd name="T4" fmla="*/ 49950 w 87231"/>
            <a:gd name="T5" fmla="*/ 2339458 h 4158343"/>
            <a:gd name="T6" fmla="*/ 111 w 87231"/>
            <a:gd name="T7" fmla="*/ 3583364 h 4158343"/>
            <a:gd name="T8" fmla="*/ 66564 w 87231"/>
            <a:gd name="T9" fmla="*/ 4359380 h 415834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87231" h="4158343">
              <a:moveTo>
                <a:pt x="32802" y="0"/>
              </a:moveTo>
              <a:cubicBezTo>
                <a:pt x="24637" y="325664"/>
                <a:pt x="16473" y="651328"/>
                <a:pt x="21916" y="1023257"/>
              </a:cubicBezTo>
              <a:cubicBezTo>
                <a:pt x="27359" y="1395186"/>
                <a:pt x="69087" y="1832429"/>
                <a:pt x="65459" y="2231572"/>
              </a:cubicBezTo>
              <a:cubicBezTo>
                <a:pt x="61831" y="2630715"/>
                <a:pt x="-3484" y="3096986"/>
                <a:pt x="145" y="3418114"/>
              </a:cubicBezTo>
              <a:cubicBezTo>
                <a:pt x="3774" y="3739242"/>
                <a:pt x="45502" y="3948792"/>
                <a:pt x="87231" y="4158343"/>
              </a:cubicBezTo>
            </a:path>
          </a:pathLst>
        </a:custGeom>
        <a:noFill/>
        <a:ln w="254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32</xdr:col>
      <xdr:colOff>190500</xdr:colOff>
      <xdr:row>18</xdr:row>
      <xdr:rowOff>927100</xdr:rowOff>
    </xdr:from>
    <xdr:to>
      <xdr:col>33</xdr:col>
      <xdr:colOff>69850</xdr:colOff>
      <xdr:row>39</xdr:row>
      <xdr:rowOff>152400</xdr:rowOff>
    </xdr:to>
    <xdr:sp macro="" textlink="">
      <xdr:nvSpPr>
        <xdr:cNvPr id="82265" name="Freeform 20">
          <a:extLst>
            <a:ext uri="{FF2B5EF4-FFF2-40B4-BE49-F238E27FC236}">
              <a16:creationId xmlns:a16="http://schemas.microsoft.com/office/drawing/2014/main" id="{F4722EC6-9C43-8FF2-5565-F706879EA150}"/>
            </a:ext>
          </a:extLst>
        </xdr:cNvPr>
        <xdr:cNvSpPr>
          <a:spLocks/>
        </xdr:cNvSpPr>
      </xdr:nvSpPr>
      <xdr:spPr bwMode="auto">
        <a:xfrm>
          <a:off x="16135350" y="5842000"/>
          <a:ext cx="88900" cy="4318000"/>
        </a:xfrm>
        <a:custGeom>
          <a:avLst/>
          <a:gdLst>
            <a:gd name="T0" fmla="*/ 31679 w 87231"/>
            <a:gd name="T1" fmla="*/ 0 h 4158343"/>
            <a:gd name="T2" fmla="*/ 21166 w 87231"/>
            <a:gd name="T3" fmla="*/ 1072727 h 4158343"/>
            <a:gd name="T4" fmla="*/ 63218 w 87231"/>
            <a:gd name="T5" fmla="*/ 2339458 h 4158343"/>
            <a:gd name="T6" fmla="*/ 140 w 87231"/>
            <a:gd name="T7" fmla="*/ 3583364 h 4158343"/>
            <a:gd name="T8" fmla="*/ 84245 w 87231"/>
            <a:gd name="T9" fmla="*/ 4359380 h 4158343"/>
            <a:gd name="T10" fmla="*/ 0 60000 65536"/>
            <a:gd name="T11" fmla="*/ 0 60000 65536"/>
            <a:gd name="T12" fmla="*/ 0 60000 65536"/>
            <a:gd name="T13" fmla="*/ 0 60000 65536"/>
            <a:gd name="T14" fmla="*/ 0 60000 65536"/>
          </a:gdLst>
          <a:ahLst/>
          <a:cxnLst>
            <a:cxn ang="T10">
              <a:pos x="T0" y="T1"/>
            </a:cxn>
            <a:cxn ang="T11">
              <a:pos x="T2" y="T3"/>
            </a:cxn>
            <a:cxn ang="T12">
              <a:pos x="T4" y="T5"/>
            </a:cxn>
            <a:cxn ang="T13">
              <a:pos x="T6" y="T7"/>
            </a:cxn>
            <a:cxn ang="T14">
              <a:pos x="T8" y="T9"/>
            </a:cxn>
          </a:cxnLst>
          <a:rect l="0" t="0" r="r" b="b"/>
          <a:pathLst>
            <a:path w="87231" h="4158343">
              <a:moveTo>
                <a:pt x="32802" y="0"/>
              </a:moveTo>
              <a:cubicBezTo>
                <a:pt x="24637" y="325664"/>
                <a:pt x="16473" y="651328"/>
                <a:pt x="21916" y="1023257"/>
              </a:cubicBezTo>
              <a:cubicBezTo>
                <a:pt x="27359" y="1395186"/>
                <a:pt x="69087" y="1832429"/>
                <a:pt x="65459" y="2231572"/>
              </a:cubicBezTo>
              <a:cubicBezTo>
                <a:pt x="61831" y="2630715"/>
                <a:pt x="-3484" y="3096986"/>
                <a:pt x="145" y="3418114"/>
              </a:cubicBezTo>
              <a:cubicBezTo>
                <a:pt x="3774" y="3739242"/>
                <a:pt x="45502" y="3948792"/>
                <a:pt x="87231" y="4158343"/>
              </a:cubicBezTo>
            </a:path>
          </a:pathLst>
        </a:custGeom>
        <a:noFill/>
        <a:ln w="2540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17</xdr:col>
      <xdr:colOff>190500</xdr:colOff>
      <xdr:row>19</xdr:row>
      <xdr:rowOff>177800</xdr:rowOff>
    </xdr:from>
    <xdr:to>
      <xdr:col>20</xdr:col>
      <xdr:colOff>19050</xdr:colOff>
      <xdr:row>35</xdr:row>
      <xdr:rowOff>177800</xdr:rowOff>
    </xdr:to>
    <xdr:grpSp>
      <xdr:nvGrpSpPr>
        <xdr:cNvPr id="82266" name="Group 4">
          <a:extLst>
            <a:ext uri="{FF2B5EF4-FFF2-40B4-BE49-F238E27FC236}">
              <a16:creationId xmlns:a16="http://schemas.microsoft.com/office/drawing/2014/main" id="{1A019DBF-6DC8-031C-1013-AEA07EEF6FD3}"/>
            </a:ext>
          </a:extLst>
        </xdr:cNvPr>
        <xdr:cNvGrpSpPr>
          <a:grpSpLocks/>
        </xdr:cNvGrpSpPr>
      </xdr:nvGrpSpPr>
      <xdr:grpSpPr bwMode="auto">
        <a:xfrm>
          <a:off x="12992100" y="6121400"/>
          <a:ext cx="457200" cy="3251200"/>
          <a:chOff x="12758058" y="6215742"/>
          <a:chExt cx="457200" cy="3135087"/>
        </a:xfrm>
      </xdr:grpSpPr>
      <xdr:sp macro="" textlink="">
        <xdr:nvSpPr>
          <xdr:cNvPr id="82298" name="Oval 7">
            <a:extLst>
              <a:ext uri="{FF2B5EF4-FFF2-40B4-BE49-F238E27FC236}">
                <a16:creationId xmlns:a16="http://schemas.microsoft.com/office/drawing/2014/main" id="{E23536EB-55DE-76E4-8AA2-4813BDB1E983}"/>
              </a:ext>
            </a:extLst>
          </xdr:cNvPr>
          <xdr:cNvSpPr>
            <a:spLocks noChangeArrowheads="1"/>
          </xdr:cNvSpPr>
        </xdr:nvSpPr>
        <xdr:spPr bwMode="auto">
          <a:xfrm>
            <a:off x="12768944" y="6618514"/>
            <a:ext cx="435428" cy="391886"/>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2299" name="Oval 7">
            <a:extLst>
              <a:ext uri="{FF2B5EF4-FFF2-40B4-BE49-F238E27FC236}">
                <a16:creationId xmlns:a16="http://schemas.microsoft.com/office/drawing/2014/main" id="{78220674-E411-D152-15BF-0902468CE245}"/>
              </a:ext>
            </a:extLst>
          </xdr:cNvPr>
          <xdr:cNvSpPr>
            <a:spLocks noChangeArrowheads="1"/>
          </xdr:cNvSpPr>
        </xdr:nvSpPr>
        <xdr:spPr bwMode="auto">
          <a:xfrm>
            <a:off x="12768945" y="7010400"/>
            <a:ext cx="435428" cy="391886"/>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2300" name="Oval 7">
            <a:extLst>
              <a:ext uri="{FF2B5EF4-FFF2-40B4-BE49-F238E27FC236}">
                <a16:creationId xmlns:a16="http://schemas.microsoft.com/office/drawing/2014/main" id="{A8922F31-A84B-3C69-6802-84A7E808D46E}"/>
              </a:ext>
            </a:extLst>
          </xdr:cNvPr>
          <xdr:cNvSpPr>
            <a:spLocks noChangeArrowheads="1"/>
          </xdr:cNvSpPr>
        </xdr:nvSpPr>
        <xdr:spPr bwMode="auto">
          <a:xfrm>
            <a:off x="12758058" y="7402286"/>
            <a:ext cx="435428" cy="391886"/>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2301" name="Oval 7">
            <a:extLst>
              <a:ext uri="{FF2B5EF4-FFF2-40B4-BE49-F238E27FC236}">
                <a16:creationId xmlns:a16="http://schemas.microsoft.com/office/drawing/2014/main" id="{6375C66C-9A0B-FE67-B4B6-0445F928383E}"/>
              </a:ext>
            </a:extLst>
          </xdr:cNvPr>
          <xdr:cNvSpPr>
            <a:spLocks noChangeArrowheads="1"/>
          </xdr:cNvSpPr>
        </xdr:nvSpPr>
        <xdr:spPr bwMode="auto">
          <a:xfrm>
            <a:off x="12758058" y="7783286"/>
            <a:ext cx="435428" cy="391886"/>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2302" name="Oval 7">
            <a:extLst>
              <a:ext uri="{FF2B5EF4-FFF2-40B4-BE49-F238E27FC236}">
                <a16:creationId xmlns:a16="http://schemas.microsoft.com/office/drawing/2014/main" id="{2599F321-62EA-A622-83E0-CE24E5949A50}"/>
              </a:ext>
            </a:extLst>
          </xdr:cNvPr>
          <xdr:cNvSpPr>
            <a:spLocks noChangeArrowheads="1"/>
          </xdr:cNvSpPr>
        </xdr:nvSpPr>
        <xdr:spPr bwMode="auto">
          <a:xfrm>
            <a:off x="12779830" y="8175171"/>
            <a:ext cx="435428" cy="391886"/>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2303" name="Oval 7">
            <a:extLst>
              <a:ext uri="{FF2B5EF4-FFF2-40B4-BE49-F238E27FC236}">
                <a16:creationId xmlns:a16="http://schemas.microsoft.com/office/drawing/2014/main" id="{62478ED0-8FB3-DDCA-3DA0-6A6D62DF859B}"/>
              </a:ext>
            </a:extLst>
          </xdr:cNvPr>
          <xdr:cNvSpPr>
            <a:spLocks noChangeArrowheads="1"/>
          </xdr:cNvSpPr>
        </xdr:nvSpPr>
        <xdr:spPr bwMode="auto">
          <a:xfrm>
            <a:off x="12779830" y="8567057"/>
            <a:ext cx="435428" cy="391886"/>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2304" name="Oval 7">
            <a:extLst>
              <a:ext uri="{FF2B5EF4-FFF2-40B4-BE49-F238E27FC236}">
                <a16:creationId xmlns:a16="http://schemas.microsoft.com/office/drawing/2014/main" id="{71C5F526-0CC5-7310-998D-8DA2B3FA5236}"/>
              </a:ext>
            </a:extLst>
          </xdr:cNvPr>
          <xdr:cNvSpPr>
            <a:spLocks noChangeArrowheads="1"/>
          </xdr:cNvSpPr>
        </xdr:nvSpPr>
        <xdr:spPr bwMode="auto">
          <a:xfrm>
            <a:off x="12768944" y="6215742"/>
            <a:ext cx="435428" cy="391886"/>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2305" name="Oval 7">
            <a:extLst>
              <a:ext uri="{FF2B5EF4-FFF2-40B4-BE49-F238E27FC236}">
                <a16:creationId xmlns:a16="http://schemas.microsoft.com/office/drawing/2014/main" id="{DE6029A9-825C-A6A1-8281-97AA4402AD37}"/>
              </a:ext>
            </a:extLst>
          </xdr:cNvPr>
          <xdr:cNvSpPr>
            <a:spLocks noChangeArrowheads="1"/>
          </xdr:cNvSpPr>
        </xdr:nvSpPr>
        <xdr:spPr bwMode="auto">
          <a:xfrm>
            <a:off x="12779830" y="8958943"/>
            <a:ext cx="435428" cy="391886"/>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21</xdr:col>
      <xdr:colOff>0</xdr:colOff>
      <xdr:row>20</xdr:row>
      <xdr:rowOff>0</xdr:rowOff>
    </xdr:from>
    <xdr:to>
      <xdr:col>23</xdr:col>
      <xdr:colOff>12700</xdr:colOff>
      <xdr:row>36</xdr:row>
      <xdr:rowOff>0</xdr:rowOff>
    </xdr:to>
    <xdr:grpSp>
      <xdr:nvGrpSpPr>
        <xdr:cNvPr id="82267" name="Group 35">
          <a:extLst>
            <a:ext uri="{FF2B5EF4-FFF2-40B4-BE49-F238E27FC236}">
              <a16:creationId xmlns:a16="http://schemas.microsoft.com/office/drawing/2014/main" id="{3E8EB1A6-E2DD-BA6A-A32C-AC385F66B5FF}"/>
            </a:ext>
          </a:extLst>
        </xdr:cNvPr>
        <xdr:cNvGrpSpPr>
          <a:grpSpLocks/>
        </xdr:cNvGrpSpPr>
      </xdr:nvGrpSpPr>
      <xdr:grpSpPr bwMode="auto">
        <a:xfrm>
          <a:off x="13639800" y="6146800"/>
          <a:ext cx="431800" cy="3251200"/>
          <a:chOff x="12758058" y="6215742"/>
          <a:chExt cx="457200" cy="3135087"/>
        </a:xfrm>
      </xdr:grpSpPr>
      <xdr:sp macro="" textlink="">
        <xdr:nvSpPr>
          <xdr:cNvPr id="82290" name="Oval 7">
            <a:extLst>
              <a:ext uri="{FF2B5EF4-FFF2-40B4-BE49-F238E27FC236}">
                <a16:creationId xmlns:a16="http://schemas.microsoft.com/office/drawing/2014/main" id="{09AC22A7-1BA1-EB3E-66C7-D544678A784B}"/>
              </a:ext>
            </a:extLst>
          </xdr:cNvPr>
          <xdr:cNvSpPr>
            <a:spLocks noChangeArrowheads="1"/>
          </xdr:cNvSpPr>
        </xdr:nvSpPr>
        <xdr:spPr bwMode="auto">
          <a:xfrm>
            <a:off x="12768944" y="6618514"/>
            <a:ext cx="435428" cy="391886"/>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2291" name="Oval 7">
            <a:extLst>
              <a:ext uri="{FF2B5EF4-FFF2-40B4-BE49-F238E27FC236}">
                <a16:creationId xmlns:a16="http://schemas.microsoft.com/office/drawing/2014/main" id="{A71AE734-01F8-F506-DA5F-C4E86ACE00B0}"/>
              </a:ext>
            </a:extLst>
          </xdr:cNvPr>
          <xdr:cNvSpPr>
            <a:spLocks noChangeArrowheads="1"/>
          </xdr:cNvSpPr>
        </xdr:nvSpPr>
        <xdr:spPr bwMode="auto">
          <a:xfrm>
            <a:off x="12768945" y="7010400"/>
            <a:ext cx="435428" cy="391886"/>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2292" name="Oval 7">
            <a:extLst>
              <a:ext uri="{FF2B5EF4-FFF2-40B4-BE49-F238E27FC236}">
                <a16:creationId xmlns:a16="http://schemas.microsoft.com/office/drawing/2014/main" id="{E1ECC394-2BDC-92B1-6494-0101A9A22751}"/>
              </a:ext>
            </a:extLst>
          </xdr:cNvPr>
          <xdr:cNvSpPr>
            <a:spLocks noChangeArrowheads="1"/>
          </xdr:cNvSpPr>
        </xdr:nvSpPr>
        <xdr:spPr bwMode="auto">
          <a:xfrm>
            <a:off x="12758058" y="7402286"/>
            <a:ext cx="435428" cy="391886"/>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2293" name="Oval 7">
            <a:extLst>
              <a:ext uri="{FF2B5EF4-FFF2-40B4-BE49-F238E27FC236}">
                <a16:creationId xmlns:a16="http://schemas.microsoft.com/office/drawing/2014/main" id="{BEFE2495-E5EA-2676-DCBB-D75756C15045}"/>
              </a:ext>
            </a:extLst>
          </xdr:cNvPr>
          <xdr:cNvSpPr>
            <a:spLocks noChangeArrowheads="1"/>
          </xdr:cNvSpPr>
        </xdr:nvSpPr>
        <xdr:spPr bwMode="auto">
          <a:xfrm>
            <a:off x="12758058" y="7783286"/>
            <a:ext cx="435428" cy="391886"/>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2294" name="Oval 7">
            <a:extLst>
              <a:ext uri="{FF2B5EF4-FFF2-40B4-BE49-F238E27FC236}">
                <a16:creationId xmlns:a16="http://schemas.microsoft.com/office/drawing/2014/main" id="{BA4BCBD0-FEAC-D99C-23DC-DF78D15EA663}"/>
              </a:ext>
            </a:extLst>
          </xdr:cNvPr>
          <xdr:cNvSpPr>
            <a:spLocks noChangeArrowheads="1"/>
          </xdr:cNvSpPr>
        </xdr:nvSpPr>
        <xdr:spPr bwMode="auto">
          <a:xfrm>
            <a:off x="12779830" y="8175171"/>
            <a:ext cx="435428" cy="391886"/>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2295" name="Oval 7">
            <a:extLst>
              <a:ext uri="{FF2B5EF4-FFF2-40B4-BE49-F238E27FC236}">
                <a16:creationId xmlns:a16="http://schemas.microsoft.com/office/drawing/2014/main" id="{4A6E0A40-8757-9195-CAC5-C4E471315A8C}"/>
              </a:ext>
            </a:extLst>
          </xdr:cNvPr>
          <xdr:cNvSpPr>
            <a:spLocks noChangeArrowheads="1"/>
          </xdr:cNvSpPr>
        </xdr:nvSpPr>
        <xdr:spPr bwMode="auto">
          <a:xfrm>
            <a:off x="12779830" y="8567057"/>
            <a:ext cx="435428" cy="391886"/>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2296" name="Oval 7">
            <a:extLst>
              <a:ext uri="{FF2B5EF4-FFF2-40B4-BE49-F238E27FC236}">
                <a16:creationId xmlns:a16="http://schemas.microsoft.com/office/drawing/2014/main" id="{5C9DD478-DAF2-8B6E-D31F-8DDAB5DB4F23}"/>
              </a:ext>
            </a:extLst>
          </xdr:cNvPr>
          <xdr:cNvSpPr>
            <a:spLocks noChangeArrowheads="1"/>
          </xdr:cNvSpPr>
        </xdr:nvSpPr>
        <xdr:spPr bwMode="auto">
          <a:xfrm>
            <a:off x="12768944" y="6215742"/>
            <a:ext cx="435428" cy="391886"/>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82297" name="Oval 7">
            <a:extLst>
              <a:ext uri="{FF2B5EF4-FFF2-40B4-BE49-F238E27FC236}">
                <a16:creationId xmlns:a16="http://schemas.microsoft.com/office/drawing/2014/main" id="{C48A8F7D-48D8-1206-D1C7-D7F42CE7B7D5}"/>
              </a:ext>
            </a:extLst>
          </xdr:cNvPr>
          <xdr:cNvSpPr>
            <a:spLocks noChangeArrowheads="1"/>
          </xdr:cNvSpPr>
        </xdr:nvSpPr>
        <xdr:spPr bwMode="auto">
          <a:xfrm>
            <a:off x="12779830" y="8958943"/>
            <a:ext cx="435428" cy="391886"/>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grpSp>
    <xdr:clientData/>
  </xdr:twoCellAnchor>
  <xdr:twoCellAnchor>
    <xdr:from>
      <xdr:col>38</xdr:col>
      <xdr:colOff>622300</xdr:colOff>
      <xdr:row>18</xdr:row>
      <xdr:rowOff>850900</xdr:rowOff>
    </xdr:from>
    <xdr:to>
      <xdr:col>40</xdr:col>
      <xdr:colOff>0</xdr:colOff>
      <xdr:row>21</xdr:row>
      <xdr:rowOff>19050</xdr:rowOff>
    </xdr:to>
    <xdr:sp macro="" textlink="">
      <xdr:nvSpPr>
        <xdr:cNvPr id="82268" name="Oval 47">
          <a:extLst>
            <a:ext uri="{FF2B5EF4-FFF2-40B4-BE49-F238E27FC236}">
              <a16:creationId xmlns:a16="http://schemas.microsoft.com/office/drawing/2014/main" id="{3C6967A2-CC13-7429-25C6-90503546DEE9}"/>
            </a:ext>
          </a:extLst>
        </xdr:cNvPr>
        <xdr:cNvSpPr>
          <a:spLocks noChangeArrowheads="1"/>
        </xdr:cNvSpPr>
      </xdr:nvSpPr>
      <xdr:spPr bwMode="auto">
        <a:xfrm>
          <a:off x="17824450" y="5765800"/>
          <a:ext cx="660400" cy="6032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88900</xdr:colOff>
      <xdr:row>17</xdr:row>
      <xdr:rowOff>336550</xdr:rowOff>
    </xdr:from>
    <xdr:to>
      <xdr:col>40</xdr:col>
      <xdr:colOff>101600</xdr:colOff>
      <xdr:row>18</xdr:row>
      <xdr:rowOff>584200</xdr:rowOff>
    </xdr:to>
    <xdr:sp macro="" textlink="">
      <xdr:nvSpPr>
        <xdr:cNvPr id="82269" name="Oval 48">
          <a:extLst>
            <a:ext uri="{FF2B5EF4-FFF2-40B4-BE49-F238E27FC236}">
              <a16:creationId xmlns:a16="http://schemas.microsoft.com/office/drawing/2014/main" id="{664E1B3D-BD90-D6C2-23E8-BF781DA9D227}"/>
            </a:ext>
          </a:extLst>
        </xdr:cNvPr>
        <xdr:cNvSpPr>
          <a:spLocks noChangeArrowheads="1"/>
        </xdr:cNvSpPr>
      </xdr:nvSpPr>
      <xdr:spPr bwMode="auto">
        <a:xfrm>
          <a:off x="17932400" y="4870450"/>
          <a:ext cx="654050" cy="62865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38</xdr:col>
      <xdr:colOff>450850</xdr:colOff>
      <xdr:row>25</xdr:row>
      <xdr:rowOff>158750</xdr:rowOff>
    </xdr:from>
    <xdr:to>
      <xdr:col>39</xdr:col>
      <xdr:colOff>463550</xdr:colOff>
      <xdr:row>28</xdr:row>
      <xdr:rowOff>158750</xdr:rowOff>
    </xdr:to>
    <xdr:sp macro="" textlink="">
      <xdr:nvSpPr>
        <xdr:cNvPr id="82270" name="Oval 49">
          <a:extLst>
            <a:ext uri="{FF2B5EF4-FFF2-40B4-BE49-F238E27FC236}">
              <a16:creationId xmlns:a16="http://schemas.microsoft.com/office/drawing/2014/main" id="{28FFB6E5-0481-B503-B33B-00072FB45D94}"/>
            </a:ext>
          </a:extLst>
        </xdr:cNvPr>
        <xdr:cNvSpPr>
          <a:spLocks noChangeArrowheads="1"/>
        </xdr:cNvSpPr>
      </xdr:nvSpPr>
      <xdr:spPr bwMode="auto">
        <a:xfrm>
          <a:off x="17653000" y="7321550"/>
          <a:ext cx="654050" cy="60960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228600</xdr:colOff>
      <xdr:row>23</xdr:row>
      <xdr:rowOff>0</xdr:rowOff>
    </xdr:from>
    <xdr:to>
      <xdr:col>40</xdr:col>
      <xdr:colOff>241300</xdr:colOff>
      <xdr:row>26</xdr:row>
      <xdr:rowOff>0</xdr:rowOff>
    </xdr:to>
    <xdr:sp macro="" textlink="">
      <xdr:nvSpPr>
        <xdr:cNvPr id="82271" name="Oval 50">
          <a:extLst>
            <a:ext uri="{FF2B5EF4-FFF2-40B4-BE49-F238E27FC236}">
              <a16:creationId xmlns:a16="http://schemas.microsoft.com/office/drawing/2014/main" id="{3C2BC7B6-9CB3-8233-AA27-955821103DE8}"/>
            </a:ext>
          </a:extLst>
        </xdr:cNvPr>
        <xdr:cNvSpPr>
          <a:spLocks noChangeArrowheads="1"/>
        </xdr:cNvSpPr>
      </xdr:nvSpPr>
      <xdr:spPr bwMode="auto">
        <a:xfrm>
          <a:off x="18072100" y="6756400"/>
          <a:ext cx="654050" cy="609600"/>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28</xdr:col>
      <xdr:colOff>50800</xdr:colOff>
      <xdr:row>19</xdr:row>
      <xdr:rowOff>82550</xdr:rowOff>
    </xdr:from>
    <xdr:to>
      <xdr:col>31</xdr:col>
      <xdr:colOff>127000</xdr:colOff>
      <xdr:row>36</xdr:row>
      <xdr:rowOff>95250</xdr:rowOff>
    </xdr:to>
    <xdr:grpSp>
      <xdr:nvGrpSpPr>
        <xdr:cNvPr id="82272" name="Group 6">
          <a:extLst>
            <a:ext uri="{FF2B5EF4-FFF2-40B4-BE49-F238E27FC236}">
              <a16:creationId xmlns:a16="http://schemas.microsoft.com/office/drawing/2014/main" id="{D9DF1F31-3CD2-BAE7-A128-B1172081FD94}"/>
            </a:ext>
          </a:extLst>
        </xdr:cNvPr>
        <xdr:cNvGrpSpPr>
          <a:grpSpLocks/>
        </xdr:cNvGrpSpPr>
      </xdr:nvGrpSpPr>
      <xdr:grpSpPr bwMode="auto">
        <a:xfrm>
          <a:off x="15157450" y="6026150"/>
          <a:ext cx="704850" cy="3467100"/>
          <a:chOff x="14913429" y="6139543"/>
          <a:chExt cx="696687" cy="3526972"/>
        </a:xfrm>
      </xdr:grpSpPr>
      <xdr:sp macro="" textlink="">
        <xdr:nvSpPr>
          <xdr:cNvPr id="82282" name="Oval 5">
            <a:extLst>
              <a:ext uri="{FF2B5EF4-FFF2-40B4-BE49-F238E27FC236}">
                <a16:creationId xmlns:a16="http://schemas.microsoft.com/office/drawing/2014/main" id="{29022051-311B-29CC-5293-E957337F17B5}"/>
              </a:ext>
            </a:extLst>
          </xdr:cNvPr>
          <xdr:cNvSpPr>
            <a:spLocks noChangeArrowheads="1"/>
          </xdr:cNvSpPr>
        </xdr:nvSpPr>
        <xdr:spPr bwMode="auto">
          <a:xfrm>
            <a:off x="14967858" y="6139543"/>
            <a:ext cx="631372" cy="620486"/>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2283" name="Oval 45">
            <a:extLst>
              <a:ext uri="{FF2B5EF4-FFF2-40B4-BE49-F238E27FC236}">
                <a16:creationId xmlns:a16="http://schemas.microsoft.com/office/drawing/2014/main" id="{078C3B39-B496-E161-74FE-AA2338DA6727}"/>
              </a:ext>
            </a:extLst>
          </xdr:cNvPr>
          <xdr:cNvSpPr>
            <a:spLocks noChangeArrowheads="1"/>
          </xdr:cNvSpPr>
        </xdr:nvSpPr>
        <xdr:spPr bwMode="auto">
          <a:xfrm>
            <a:off x="14967858" y="6542314"/>
            <a:ext cx="631372" cy="620486"/>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2284" name="Oval 46">
            <a:extLst>
              <a:ext uri="{FF2B5EF4-FFF2-40B4-BE49-F238E27FC236}">
                <a16:creationId xmlns:a16="http://schemas.microsoft.com/office/drawing/2014/main" id="{16D1061E-C9FC-6215-1FDC-461F366E2D32}"/>
              </a:ext>
            </a:extLst>
          </xdr:cNvPr>
          <xdr:cNvSpPr>
            <a:spLocks noChangeArrowheads="1"/>
          </xdr:cNvSpPr>
        </xdr:nvSpPr>
        <xdr:spPr bwMode="auto">
          <a:xfrm>
            <a:off x="14978744" y="6955971"/>
            <a:ext cx="631372" cy="620486"/>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2285" name="Oval 51">
            <a:extLst>
              <a:ext uri="{FF2B5EF4-FFF2-40B4-BE49-F238E27FC236}">
                <a16:creationId xmlns:a16="http://schemas.microsoft.com/office/drawing/2014/main" id="{196BD8D0-67A8-A0A0-A717-0CD9996D63ED}"/>
              </a:ext>
            </a:extLst>
          </xdr:cNvPr>
          <xdr:cNvSpPr>
            <a:spLocks noChangeArrowheads="1"/>
          </xdr:cNvSpPr>
        </xdr:nvSpPr>
        <xdr:spPr bwMode="auto">
          <a:xfrm>
            <a:off x="14967858" y="7380515"/>
            <a:ext cx="631372" cy="620486"/>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2286" name="Oval 52">
            <a:extLst>
              <a:ext uri="{FF2B5EF4-FFF2-40B4-BE49-F238E27FC236}">
                <a16:creationId xmlns:a16="http://schemas.microsoft.com/office/drawing/2014/main" id="{A7B76556-F896-E9D1-8B78-2EB924A0A5BE}"/>
              </a:ext>
            </a:extLst>
          </xdr:cNvPr>
          <xdr:cNvSpPr>
            <a:spLocks noChangeArrowheads="1"/>
          </xdr:cNvSpPr>
        </xdr:nvSpPr>
        <xdr:spPr bwMode="auto">
          <a:xfrm>
            <a:off x="14946086" y="7794172"/>
            <a:ext cx="631372" cy="620486"/>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2287" name="Oval 53">
            <a:extLst>
              <a:ext uri="{FF2B5EF4-FFF2-40B4-BE49-F238E27FC236}">
                <a16:creationId xmlns:a16="http://schemas.microsoft.com/office/drawing/2014/main" id="{4817A61C-2E5C-DEEC-7702-CA25F3558C21}"/>
              </a:ext>
            </a:extLst>
          </xdr:cNvPr>
          <xdr:cNvSpPr>
            <a:spLocks noChangeArrowheads="1"/>
          </xdr:cNvSpPr>
        </xdr:nvSpPr>
        <xdr:spPr bwMode="auto">
          <a:xfrm>
            <a:off x="14946085" y="8186057"/>
            <a:ext cx="631372" cy="620486"/>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2288" name="Oval 54">
            <a:extLst>
              <a:ext uri="{FF2B5EF4-FFF2-40B4-BE49-F238E27FC236}">
                <a16:creationId xmlns:a16="http://schemas.microsoft.com/office/drawing/2014/main" id="{42FB9265-882E-A204-88CE-4F31631196A2}"/>
              </a:ext>
            </a:extLst>
          </xdr:cNvPr>
          <xdr:cNvSpPr>
            <a:spLocks noChangeArrowheads="1"/>
          </xdr:cNvSpPr>
        </xdr:nvSpPr>
        <xdr:spPr bwMode="auto">
          <a:xfrm>
            <a:off x="14924314" y="8643258"/>
            <a:ext cx="631372" cy="620486"/>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2289" name="Oval 55">
            <a:extLst>
              <a:ext uri="{FF2B5EF4-FFF2-40B4-BE49-F238E27FC236}">
                <a16:creationId xmlns:a16="http://schemas.microsoft.com/office/drawing/2014/main" id="{5986F312-40BF-0386-FDF8-716E8D7FC900}"/>
              </a:ext>
            </a:extLst>
          </xdr:cNvPr>
          <xdr:cNvSpPr>
            <a:spLocks noChangeArrowheads="1"/>
          </xdr:cNvSpPr>
        </xdr:nvSpPr>
        <xdr:spPr bwMode="auto">
          <a:xfrm>
            <a:off x="14913429" y="9046029"/>
            <a:ext cx="631372" cy="620486"/>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31</xdr:col>
      <xdr:colOff>69850</xdr:colOff>
      <xdr:row>19</xdr:row>
      <xdr:rowOff>107950</xdr:rowOff>
    </xdr:from>
    <xdr:to>
      <xdr:col>34</xdr:col>
      <xdr:colOff>152400</xdr:colOff>
      <xdr:row>36</xdr:row>
      <xdr:rowOff>127000</xdr:rowOff>
    </xdr:to>
    <xdr:grpSp>
      <xdr:nvGrpSpPr>
        <xdr:cNvPr id="82273" name="Group 57">
          <a:extLst>
            <a:ext uri="{FF2B5EF4-FFF2-40B4-BE49-F238E27FC236}">
              <a16:creationId xmlns:a16="http://schemas.microsoft.com/office/drawing/2014/main" id="{1EB9099E-CB52-5FFA-0AD3-C05F42DFDA90}"/>
            </a:ext>
          </a:extLst>
        </xdr:cNvPr>
        <xdr:cNvGrpSpPr>
          <a:grpSpLocks/>
        </xdr:cNvGrpSpPr>
      </xdr:nvGrpSpPr>
      <xdr:grpSpPr bwMode="auto">
        <a:xfrm>
          <a:off x="15805150" y="6051550"/>
          <a:ext cx="711200" cy="3473450"/>
          <a:chOff x="14913429" y="6139543"/>
          <a:chExt cx="696687" cy="3526972"/>
        </a:xfrm>
      </xdr:grpSpPr>
      <xdr:sp macro="" textlink="">
        <xdr:nvSpPr>
          <xdr:cNvPr id="82274" name="Oval 58">
            <a:extLst>
              <a:ext uri="{FF2B5EF4-FFF2-40B4-BE49-F238E27FC236}">
                <a16:creationId xmlns:a16="http://schemas.microsoft.com/office/drawing/2014/main" id="{009FE879-EBBA-3C99-B043-F87D16F061F4}"/>
              </a:ext>
            </a:extLst>
          </xdr:cNvPr>
          <xdr:cNvSpPr>
            <a:spLocks noChangeArrowheads="1"/>
          </xdr:cNvSpPr>
        </xdr:nvSpPr>
        <xdr:spPr bwMode="auto">
          <a:xfrm>
            <a:off x="14967858" y="6139543"/>
            <a:ext cx="631372" cy="620486"/>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2275" name="Oval 59">
            <a:extLst>
              <a:ext uri="{FF2B5EF4-FFF2-40B4-BE49-F238E27FC236}">
                <a16:creationId xmlns:a16="http://schemas.microsoft.com/office/drawing/2014/main" id="{D0653116-8180-72EF-7926-482E7918556B}"/>
              </a:ext>
            </a:extLst>
          </xdr:cNvPr>
          <xdr:cNvSpPr>
            <a:spLocks noChangeArrowheads="1"/>
          </xdr:cNvSpPr>
        </xdr:nvSpPr>
        <xdr:spPr bwMode="auto">
          <a:xfrm>
            <a:off x="14967858" y="6542314"/>
            <a:ext cx="631372" cy="620486"/>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2276" name="Oval 60">
            <a:extLst>
              <a:ext uri="{FF2B5EF4-FFF2-40B4-BE49-F238E27FC236}">
                <a16:creationId xmlns:a16="http://schemas.microsoft.com/office/drawing/2014/main" id="{DBAC42D4-B145-9728-0394-0BB707C421EB}"/>
              </a:ext>
            </a:extLst>
          </xdr:cNvPr>
          <xdr:cNvSpPr>
            <a:spLocks noChangeArrowheads="1"/>
          </xdr:cNvSpPr>
        </xdr:nvSpPr>
        <xdr:spPr bwMode="auto">
          <a:xfrm>
            <a:off x="14978744" y="6955971"/>
            <a:ext cx="631372" cy="620486"/>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2277" name="Oval 61">
            <a:extLst>
              <a:ext uri="{FF2B5EF4-FFF2-40B4-BE49-F238E27FC236}">
                <a16:creationId xmlns:a16="http://schemas.microsoft.com/office/drawing/2014/main" id="{B779A5CF-CCD1-940B-F01A-67F8598B4413}"/>
              </a:ext>
            </a:extLst>
          </xdr:cNvPr>
          <xdr:cNvSpPr>
            <a:spLocks noChangeArrowheads="1"/>
          </xdr:cNvSpPr>
        </xdr:nvSpPr>
        <xdr:spPr bwMode="auto">
          <a:xfrm>
            <a:off x="14967858" y="7380515"/>
            <a:ext cx="631372" cy="620486"/>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2278" name="Oval 62">
            <a:extLst>
              <a:ext uri="{FF2B5EF4-FFF2-40B4-BE49-F238E27FC236}">
                <a16:creationId xmlns:a16="http://schemas.microsoft.com/office/drawing/2014/main" id="{BC51C191-F578-5558-2176-67BD689849D7}"/>
              </a:ext>
            </a:extLst>
          </xdr:cNvPr>
          <xdr:cNvSpPr>
            <a:spLocks noChangeArrowheads="1"/>
          </xdr:cNvSpPr>
        </xdr:nvSpPr>
        <xdr:spPr bwMode="auto">
          <a:xfrm>
            <a:off x="14946086" y="7794172"/>
            <a:ext cx="631372" cy="620486"/>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2279" name="Oval 63">
            <a:extLst>
              <a:ext uri="{FF2B5EF4-FFF2-40B4-BE49-F238E27FC236}">
                <a16:creationId xmlns:a16="http://schemas.microsoft.com/office/drawing/2014/main" id="{BA124A1A-0149-8F58-D26C-B924E3B5B0F3}"/>
              </a:ext>
            </a:extLst>
          </xdr:cNvPr>
          <xdr:cNvSpPr>
            <a:spLocks noChangeArrowheads="1"/>
          </xdr:cNvSpPr>
        </xdr:nvSpPr>
        <xdr:spPr bwMode="auto">
          <a:xfrm>
            <a:off x="14946085" y="8186057"/>
            <a:ext cx="631372" cy="620486"/>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2280" name="Oval 64">
            <a:extLst>
              <a:ext uri="{FF2B5EF4-FFF2-40B4-BE49-F238E27FC236}">
                <a16:creationId xmlns:a16="http://schemas.microsoft.com/office/drawing/2014/main" id="{33DDA936-2769-1A63-53A5-35917B10EB14}"/>
              </a:ext>
            </a:extLst>
          </xdr:cNvPr>
          <xdr:cNvSpPr>
            <a:spLocks noChangeArrowheads="1"/>
          </xdr:cNvSpPr>
        </xdr:nvSpPr>
        <xdr:spPr bwMode="auto">
          <a:xfrm>
            <a:off x="14924314" y="8643258"/>
            <a:ext cx="631372" cy="620486"/>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2281" name="Oval 65">
            <a:extLst>
              <a:ext uri="{FF2B5EF4-FFF2-40B4-BE49-F238E27FC236}">
                <a16:creationId xmlns:a16="http://schemas.microsoft.com/office/drawing/2014/main" id="{D9C444A7-62CA-5BBD-0739-C02435F16830}"/>
              </a:ext>
            </a:extLst>
          </xdr:cNvPr>
          <xdr:cNvSpPr>
            <a:spLocks noChangeArrowheads="1"/>
          </xdr:cNvSpPr>
        </xdr:nvSpPr>
        <xdr:spPr bwMode="auto">
          <a:xfrm>
            <a:off x="14913429" y="9046029"/>
            <a:ext cx="631372" cy="620486"/>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82550</xdr:colOff>
      <xdr:row>17</xdr:row>
      <xdr:rowOff>22860</xdr:rowOff>
    </xdr:from>
    <xdr:to>
      <xdr:col>8</xdr:col>
      <xdr:colOff>579774</xdr:colOff>
      <xdr:row>18</xdr:row>
      <xdr:rowOff>169616</xdr:rowOff>
    </xdr:to>
    <xdr:sp macro="" textlink="">
      <xdr:nvSpPr>
        <xdr:cNvPr id="4097" name="Text Box 1">
          <a:extLst>
            <a:ext uri="{FF2B5EF4-FFF2-40B4-BE49-F238E27FC236}">
              <a16:creationId xmlns:a16="http://schemas.microsoft.com/office/drawing/2014/main" id="{FE0BFC67-DDD6-DED7-8C95-939CEA32567D}"/>
            </a:ext>
          </a:extLst>
        </xdr:cNvPr>
        <xdr:cNvSpPr txBox="1">
          <a:spLocks noChangeArrowheads="1"/>
        </xdr:cNvSpPr>
      </xdr:nvSpPr>
      <xdr:spPr bwMode="auto">
        <a:xfrm>
          <a:off x="2506980" y="4663440"/>
          <a:ext cx="3802380" cy="518160"/>
        </a:xfrm>
        <a:prstGeom prst="rect">
          <a:avLst/>
        </a:prstGeom>
        <a:solidFill>
          <a:srgbClr xmlns:mc="http://schemas.openxmlformats.org/markup-compatibility/2006" xmlns:a14="http://schemas.microsoft.com/office/drawing/2010/main" val="FFFFFF" mc:Ignorable="a14" a14:legacySpreadsheetColorIndex="9"/>
        </a:solidFill>
        <a:ln w="2857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32004" rIns="27432" bIns="0" anchor="t" upright="1"/>
        <a:lstStyle/>
        <a:p>
          <a:pPr algn="ctr" rtl="0">
            <a:defRPr sz="1000"/>
          </a:pPr>
          <a:r>
            <a:rPr lang="en-US" sz="1200" b="1" i="0" u="none" strike="noStrike" baseline="30000">
              <a:solidFill>
                <a:srgbClr val="000000"/>
              </a:solidFill>
              <a:latin typeface="Arial"/>
              <a:cs typeface="Arial"/>
            </a:rPr>
            <a:t>1</a:t>
          </a:r>
          <a:r>
            <a:rPr lang="en-US" sz="1200" b="1" i="0" u="none" strike="noStrike" baseline="0">
              <a:solidFill>
                <a:srgbClr val="000000"/>
              </a:solidFill>
              <a:latin typeface="Arial"/>
              <a:cs typeface="Arial"/>
            </a:rPr>
            <a:t>Irrigation Time to Refill &amp; Moisture Reserve of</a:t>
          </a:r>
        </a:p>
        <a:p>
          <a:pPr algn="ctr" rtl="0">
            <a:defRPr sz="1000"/>
          </a:pPr>
          <a:r>
            <a:rPr lang="en-US" sz="1200" b="1" i="0" u="none" strike="noStrike" baseline="0">
              <a:solidFill>
                <a:srgbClr val="000000"/>
              </a:solidFill>
              <a:latin typeface="Arial"/>
              <a:cs typeface="Arial"/>
            </a:rPr>
            <a:t>4 Foot Wetted Rootzone @ 50% to 100% Available</a:t>
          </a:r>
        </a:p>
      </xdr:txBody>
    </xdr:sp>
    <xdr:clientData/>
  </xdr:twoCellAnchor>
  <mc:AlternateContent xmlns:mc="http://schemas.openxmlformats.org/markup-compatibility/2006">
    <mc:Choice xmlns:a14="http://schemas.microsoft.com/office/drawing/2010/main" Requires="a14">
      <xdr:twoCellAnchor editAs="oneCell">
        <xdr:from>
          <xdr:col>0</xdr:col>
          <xdr:colOff>82550</xdr:colOff>
          <xdr:row>1</xdr:row>
          <xdr:rowOff>101600</xdr:rowOff>
        </xdr:from>
        <xdr:to>
          <xdr:col>8</xdr:col>
          <xdr:colOff>622300</xdr:colOff>
          <xdr:row>15</xdr:row>
          <xdr:rowOff>977900</xdr:rowOff>
        </xdr:to>
        <xdr:pic>
          <xdr:nvPicPr>
            <xdr:cNvPr id="4765" name="Picture 2">
              <a:extLst>
                <a:ext uri="{FF2B5EF4-FFF2-40B4-BE49-F238E27FC236}">
                  <a16:creationId xmlns:a16="http://schemas.microsoft.com/office/drawing/2014/main" id="{2C122C8B-A65F-4244-3707-16827EAE8389}"/>
                </a:ext>
              </a:extLst>
            </xdr:cNvPr>
            <xdr:cNvPicPr>
              <a:picLocks noChangeAspect="1" noChangeArrowheads="1"/>
              <a:extLst>
                <a:ext uri="{84589F7E-364E-4C9E-8A38-B11213B215E9}">
                  <a14:cameraTool cellRange="$J$4:$O$16" spid="_x0000_s4775"/>
                </a:ext>
              </a:extLst>
            </xdr:cNvPicPr>
          </xdr:nvPicPr>
          <xdr:blipFill>
            <a:blip xmlns:r="http://schemas.openxmlformats.org/officeDocument/2006/relationships" r:embed="rId1"/>
            <a:srcRect/>
            <a:stretch>
              <a:fillRect/>
            </a:stretch>
          </xdr:blipFill>
          <xdr:spPr bwMode="auto">
            <a:xfrm>
              <a:off x="82550" y="260350"/>
              <a:ext cx="6426200" cy="41338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0</xdr:col>
      <xdr:colOff>38100</xdr:colOff>
      <xdr:row>16</xdr:row>
      <xdr:rowOff>114300</xdr:rowOff>
    </xdr:from>
    <xdr:to>
      <xdr:col>2</xdr:col>
      <xdr:colOff>646476</xdr:colOff>
      <xdr:row>18</xdr:row>
      <xdr:rowOff>53340</xdr:rowOff>
    </xdr:to>
    <xdr:sp macro="" textlink="">
      <xdr:nvSpPr>
        <xdr:cNvPr id="4099" name="Text Box 3">
          <a:extLst>
            <a:ext uri="{FF2B5EF4-FFF2-40B4-BE49-F238E27FC236}">
              <a16:creationId xmlns:a16="http://schemas.microsoft.com/office/drawing/2014/main" id="{4CF17888-57D8-7D9F-87F6-312AA403CE1F}"/>
            </a:ext>
          </a:extLst>
        </xdr:cNvPr>
        <xdr:cNvSpPr txBox="1">
          <a:spLocks noChangeArrowheads="1"/>
        </xdr:cNvSpPr>
      </xdr:nvSpPr>
      <xdr:spPr bwMode="auto">
        <a:xfrm>
          <a:off x="38100" y="4556760"/>
          <a:ext cx="2369820" cy="518160"/>
        </a:xfrm>
        <a:prstGeom prst="rect">
          <a:avLst/>
        </a:prstGeom>
        <a:solidFill>
          <a:srgbClr val="FFFFFF"/>
        </a:solidFill>
        <a:ln w="9525">
          <a:solidFill>
            <a:srgbClr val="000000"/>
          </a:solidFill>
          <a:miter lim="800000"/>
          <a:headEnd/>
          <a:tailEnd/>
        </a:ln>
      </xdr:spPr>
      <xdr:txBody>
        <a:bodyPr vertOverflow="clip" wrap="square" lIns="0" tIns="45720" rIns="0" bIns="45720" anchor="t" upright="1"/>
        <a:lstStyle/>
        <a:p>
          <a:pPr algn="ctr" rtl="0">
            <a:defRPr sz="1000"/>
          </a:pPr>
          <a:r>
            <a:rPr lang="en-US" sz="1400" b="0" i="0" u="none" strike="noStrike" baseline="0">
              <a:solidFill>
                <a:srgbClr val="000000"/>
              </a:solidFill>
              <a:latin typeface="Times New Roman"/>
              <a:cs typeface="Times New Roman"/>
            </a:rPr>
            <a:t>Refill Times for Different Soil Textures and Micro Systems</a:t>
          </a:r>
        </a:p>
        <a:p>
          <a:pPr algn="ctr" rtl="0">
            <a:defRPr sz="1000"/>
          </a:pPr>
          <a:endParaRPr lang="en-US" sz="1400" b="0" i="0" u="none" strike="noStrike" baseline="0">
            <a:solidFill>
              <a:srgbClr val="000000"/>
            </a:solidFill>
            <a:latin typeface="Times New Roman"/>
            <a:cs typeface="Times New Roman"/>
          </a:endParaRPr>
        </a:p>
      </xdr:txBody>
    </xdr:sp>
    <xdr:clientData/>
  </xdr:twoCellAnchor>
  <xdr:twoCellAnchor>
    <xdr:from>
      <xdr:col>18</xdr:col>
      <xdr:colOff>120650</xdr:colOff>
      <xdr:row>25</xdr:row>
      <xdr:rowOff>190500</xdr:rowOff>
    </xdr:from>
    <xdr:to>
      <xdr:col>25</xdr:col>
      <xdr:colOff>69850</xdr:colOff>
      <xdr:row>33</xdr:row>
      <xdr:rowOff>6350</xdr:rowOff>
    </xdr:to>
    <xdr:sp macro="" textlink="">
      <xdr:nvSpPr>
        <xdr:cNvPr id="4767" name="Oval 4">
          <a:extLst>
            <a:ext uri="{FF2B5EF4-FFF2-40B4-BE49-F238E27FC236}">
              <a16:creationId xmlns:a16="http://schemas.microsoft.com/office/drawing/2014/main" id="{1D257425-F83A-74E0-6B57-BC67C94B2AA5}"/>
            </a:ext>
          </a:extLst>
        </xdr:cNvPr>
        <xdr:cNvSpPr>
          <a:spLocks noChangeArrowheads="1"/>
        </xdr:cNvSpPr>
      </xdr:nvSpPr>
      <xdr:spPr bwMode="auto">
        <a:xfrm>
          <a:off x="12998450" y="7391400"/>
          <a:ext cx="1416050" cy="1390650"/>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35</xdr:col>
      <xdr:colOff>482600</xdr:colOff>
      <xdr:row>25</xdr:row>
      <xdr:rowOff>6350</xdr:rowOff>
    </xdr:from>
    <xdr:to>
      <xdr:col>38</xdr:col>
      <xdr:colOff>19050</xdr:colOff>
      <xdr:row>32</xdr:row>
      <xdr:rowOff>31750</xdr:rowOff>
    </xdr:to>
    <xdr:sp macro="" textlink="">
      <xdr:nvSpPr>
        <xdr:cNvPr id="4768" name="Oval 5">
          <a:extLst>
            <a:ext uri="{FF2B5EF4-FFF2-40B4-BE49-F238E27FC236}">
              <a16:creationId xmlns:a16="http://schemas.microsoft.com/office/drawing/2014/main" id="{E2793D58-F780-AA3B-37C0-5E91A3EB09DD}"/>
            </a:ext>
          </a:extLst>
        </xdr:cNvPr>
        <xdr:cNvSpPr>
          <a:spLocks noChangeArrowheads="1"/>
        </xdr:cNvSpPr>
      </xdr:nvSpPr>
      <xdr:spPr bwMode="auto">
        <a:xfrm>
          <a:off x="16922750" y="7207250"/>
          <a:ext cx="1460500" cy="14033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29</xdr:col>
      <xdr:colOff>0</xdr:colOff>
      <xdr:row>25</xdr:row>
      <xdr:rowOff>190500</xdr:rowOff>
    </xdr:from>
    <xdr:to>
      <xdr:col>35</xdr:col>
      <xdr:colOff>12700</xdr:colOff>
      <xdr:row>32</xdr:row>
      <xdr:rowOff>0</xdr:rowOff>
    </xdr:to>
    <xdr:sp macro="" textlink="">
      <xdr:nvSpPr>
        <xdr:cNvPr id="4769" name="Oval 7">
          <a:extLst>
            <a:ext uri="{FF2B5EF4-FFF2-40B4-BE49-F238E27FC236}">
              <a16:creationId xmlns:a16="http://schemas.microsoft.com/office/drawing/2014/main" id="{D74686CA-7C80-2708-A271-B1AC58F9B779}"/>
            </a:ext>
          </a:extLst>
        </xdr:cNvPr>
        <xdr:cNvSpPr>
          <a:spLocks noChangeArrowheads="1"/>
        </xdr:cNvSpPr>
      </xdr:nvSpPr>
      <xdr:spPr bwMode="auto">
        <a:xfrm>
          <a:off x="15182850" y="7391400"/>
          <a:ext cx="1270000" cy="1187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25</xdr:col>
      <xdr:colOff>0</xdr:colOff>
      <xdr:row>25</xdr:row>
      <xdr:rowOff>190500</xdr:rowOff>
    </xdr:from>
    <xdr:to>
      <xdr:col>31</xdr:col>
      <xdr:colOff>12700</xdr:colOff>
      <xdr:row>32</xdr:row>
      <xdr:rowOff>0</xdr:rowOff>
    </xdr:to>
    <xdr:sp macro="" textlink="">
      <xdr:nvSpPr>
        <xdr:cNvPr id="4770" name="Oval 8">
          <a:extLst>
            <a:ext uri="{FF2B5EF4-FFF2-40B4-BE49-F238E27FC236}">
              <a16:creationId xmlns:a16="http://schemas.microsoft.com/office/drawing/2014/main" id="{BD276160-0AFD-C81C-3D23-F1D621F229E0}"/>
            </a:ext>
          </a:extLst>
        </xdr:cNvPr>
        <xdr:cNvSpPr>
          <a:spLocks noChangeArrowheads="1"/>
        </xdr:cNvSpPr>
      </xdr:nvSpPr>
      <xdr:spPr bwMode="auto">
        <a:xfrm>
          <a:off x="14344650" y="7391400"/>
          <a:ext cx="1270000" cy="11874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1</xdr:col>
          <xdr:colOff>107950</xdr:colOff>
          <xdr:row>34</xdr:row>
          <xdr:rowOff>133350</xdr:rowOff>
        </xdr:from>
        <xdr:to>
          <xdr:col>10</xdr:col>
          <xdr:colOff>82550</xdr:colOff>
          <xdr:row>60</xdr:row>
          <xdr:rowOff>57150</xdr:rowOff>
        </xdr:to>
        <xdr:pic>
          <xdr:nvPicPr>
            <xdr:cNvPr id="4771" name="Picture 9">
              <a:extLst>
                <a:ext uri="{FF2B5EF4-FFF2-40B4-BE49-F238E27FC236}">
                  <a16:creationId xmlns:a16="http://schemas.microsoft.com/office/drawing/2014/main" id="{64E92508-DAD5-77D9-B7AB-684FDE467751}"/>
                </a:ext>
              </a:extLst>
            </xdr:cNvPr>
            <xdr:cNvPicPr>
              <a:picLocks noChangeAspect="1" noChangeArrowheads="1"/>
              <a:extLst>
                <a:ext uri="{84589F7E-364E-4C9E-8A38-B11213B215E9}">
                  <a14:cameraTool cellRange="$A$17:$I$33" spid="_x0000_s4776"/>
                </a:ext>
              </a:extLst>
            </xdr:cNvPicPr>
          </xdr:nvPicPr>
          <xdr:blipFill>
            <a:blip xmlns:r="http://schemas.openxmlformats.org/officeDocument/2006/relationships" r:embed="rId2"/>
            <a:srcRect/>
            <a:stretch>
              <a:fillRect/>
            </a:stretch>
          </xdr:blipFill>
          <xdr:spPr bwMode="auto">
            <a:xfrm>
              <a:off x="1238250" y="9105900"/>
              <a:ext cx="6578600" cy="4337050"/>
            </a:xfrm>
            <a:prstGeom prst="rect">
              <a:avLst/>
            </a:prstGeom>
            <a:solidFill>
              <a:srgbClr val="FFFFFF" mc:Ignorable="a14" a14:legacySpreadsheetColorIndex="9"/>
            </a:solidFill>
            <a:ln w="9525">
              <a:solidFill>
                <a:srgbClr val="000000" mc:Ignorable="a14" a14:legacySpreadsheetColorIndex="64"/>
              </a:solidFill>
              <a:miter lim="800000"/>
              <a:headEnd/>
              <a:tailEnd/>
            </a:ln>
          </xdr:spPr>
        </xdr:pic>
        <xdr:clientData/>
      </xdr:twoCellAnchor>
    </mc:Choice>
    <mc:Fallback/>
  </mc:AlternateContent>
  <xdr:twoCellAnchor>
    <xdr:from>
      <xdr:col>4</xdr:col>
      <xdr:colOff>36830</xdr:colOff>
      <xdr:row>18</xdr:row>
      <xdr:rowOff>114300</xdr:rowOff>
    </xdr:from>
    <xdr:to>
      <xdr:col>8</xdr:col>
      <xdr:colOff>549249</xdr:colOff>
      <xdr:row>18</xdr:row>
      <xdr:rowOff>341779</xdr:rowOff>
    </xdr:to>
    <xdr:sp macro="" textlink="">
      <xdr:nvSpPr>
        <xdr:cNvPr id="4106" name="Text Box 10">
          <a:extLst>
            <a:ext uri="{FF2B5EF4-FFF2-40B4-BE49-F238E27FC236}">
              <a16:creationId xmlns:a16="http://schemas.microsoft.com/office/drawing/2014/main" id="{DC24C846-6E19-3094-41EC-1AE721E8E0B6}"/>
            </a:ext>
          </a:extLst>
        </xdr:cNvPr>
        <xdr:cNvSpPr txBox="1">
          <a:spLocks noChangeArrowheads="1"/>
        </xdr:cNvSpPr>
      </xdr:nvSpPr>
      <xdr:spPr bwMode="auto">
        <a:xfrm>
          <a:off x="3124200" y="5135880"/>
          <a:ext cx="3154680" cy="220980"/>
        </a:xfrm>
        <a:prstGeom prst="rect">
          <a:avLst/>
        </a:prstGeom>
        <a:solidFill>
          <a:srgbClr val="FFFFFF"/>
        </a:solidFill>
        <a:ln w="9525">
          <a:solidFill>
            <a:srgbClr val="000000"/>
          </a:solidFill>
          <a:miter lim="800000"/>
          <a:headEnd/>
          <a:tailEnd/>
        </a:ln>
      </xdr:spPr>
      <xdr:txBody>
        <a:bodyPr vertOverflow="clip" wrap="square" lIns="0" tIns="0" rIns="0" bIns="0" anchor="ctr" upright="1"/>
        <a:lstStyle/>
        <a:p>
          <a:pPr algn="ctr" rtl="0">
            <a:defRPr sz="1000"/>
          </a:pPr>
          <a:r>
            <a:rPr lang="en-US" sz="1400" b="1" i="0" u="none" strike="noStrike" baseline="0">
              <a:solidFill>
                <a:srgbClr val="000000"/>
              </a:solidFill>
              <a:latin typeface="Times New Roman"/>
              <a:cs typeface="Times New Roman"/>
            </a:rPr>
            <a:t>CITRUS </a:t>
          </a:r>
          <a:r>
            <a:rPr lang="en-US" sz="1200" b="1" i="0" u="none" strike="noStrike" baseline="0">
              <a:solidFill>
                <a:srgbClr val="000000"/>
              </a:solidFill>
              <a:latin typeface="Times New Roman"/>
              <a:cs typeface="Times New Roman"/>
            </a:rPr>
            <a:t>(almond RDI) </a:t>
          </a:r>
          <a:r>
            <a:rPr lang="en-US" sz="1400" b="1" i="0" u="none" strike="noStrike" baseline="0">
              <a:solidFill>
                <a:srgbClr val="000000"/>
              </a:solidFill>
              <a:latin typeface="Times New Roman"/>
              <a:cs typeface="Times New Roman"/>
            </a:rPr>
            <a:t>0.20 inch/day ET</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106680</xdr:colOff>
      <xdr:row>4</xdr:row>
      <xdr:rowOff>30480</xdr:rowOff>
    </xdr:from>
    <xdr:to>
      <xdr:col>13</xdr:col>
      <xdr:colOff>451491</xdr:colOff>
      <xdr:row>4</xdr:row>
      <xdr:rowOff>342900</xdr:rowOff>
    </xdr:to>
    <xdr:sp macro="" textlink="">
      <xdr:nvSpPr>
        <xdr:cNvPr id="6145" name="Text Box 1">
          <a:extLst>
            <a:ext uri="{FF2B5EF4-FFF2-40B4-BE49-F238E27FC236}">
              <a16:creationId xmlns:a16="http://schemas.microsoft.com/office/drawing/2014/main" id="{56B48A48-517B-8FB3-DA4C-F01F9DB9CBFF}"/>
            </a:ext>
          </a:extLst>
        </xdr:cNvPr>
        <xdr:cNvSpPr txBox="1">
          <a:spLocks noChangeArrowheads="1"/>
        </xdr:cNvSpPr>
      </xdr:nvSpPr>
      <xdr:spPr bwMode="auto">
        <a:xfrm>
          <a:off x="8542020" y="1059180"/>
          <a:ext cx="2956560" cy="31242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0" anchor="t" upright="1"/>
        <a:lstStyle/>
        <a:p>
          <a:pPr algn="ctr" rtl="0">
            <a:defRPr sz="1000"/>
          </a:pPr>
          <a:r>
            <a:rPr lang="en-US" sz="1000" b="1" i="0" u="none" strike="noStrike" baseline="0">
              <a:solidFill>
                <a:srgbClr val="000000"/>
              </a:solidFill>
              <a:latin typeface="Arial"/>
              <a:cs typeface="Arial"/>
            </a:rPr>
            <a:t>Days of Moisture Reserve for Average </a:t>
          </a:r>
        </a:p>
        <a:p>
          <a:pPr algn="ctr" rtl="0">
            <a:defRPr sz="1000"/>
          </a:pPr>
          <a:r>
            <a:rPr lang="en-US" sz="1000" b="1" i="0" u="none" strike="noStrike" baseline="0">
              <a:solidFill>
                <a:srgbClr val="000000"/>
              </a:solidFill>
              <a:latin typeface="Arial"/>
              <a:cs typeface="Arial"/>
            </a:rPr>
            <a:t>Daily ET by Month</a:t>
          </a:r>
        </a:p>
      </xdr:txBody>
    </xdr:sp>
    <xdr:clientData/>
  </xdr:twoCellAnchor>
  <xdr:twoCellAnchor>
    <xdr:from>
      <xdr:col>9</xdr:col>
      <xdr:colOff>143510</xdr:colOff>
      <xdr:row>2</xdr:row>
      <xdr:rowOff>0</xdr:rowOff>
    </xdr:from>
    <xdr:to>
      <xdr:col>13</xdr:col>
      <xdr:colOff>489572</xdr:colOff>
      <xdr:row>2</xdr:row>
      <xdr:rowOff>198120</xdr:rowOff>
    </xdr:to>
    <xdr:sp macro="" textlink="">
      <xdr:nvSpPr>
        <xdr:cNvPr id="6146" name="Text Box 2">
          <a:extLst>
            <a:ext uri="{FF2B5EF4-FFF2-40B4-BE49-F238E27FC236}">
              <a16:creationId xmlns:a16="http://schemas.microsoft.com/office/drawing/2014/main" id="{BF573981-8A12-A228-C170-DC7203573ADA}"/>
            </a:ext>
          </a:extLst>
        </xdr:cNvPr>
        <xdr:cNvSpPr txBox="1">
          <a:spLocks noChangeArrowheads="1"/>
        </xdr:cNvSpPr>
      </xdr:nvSpPr>
      <xdr:spPr bwMode="auto">
        <a:xfrm>
          <a:off x="8572500" y="426720"/>
          <a:ext cx="2964180" cy="19812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36576" bIns="0" anchor="t" upright="1"/>
        <a:lstStyle/>
        <a:p>
          <a:pPr algn="ctr" rtl="0">
            <a:defRPr sz="1000"/>
          </a:pPr>
          <a:r>
            <a:rPr lang="en-US" sz="1000" b="1" i="0" u="none" strike="noStrike" baseline="0">
              <a:solidFill>
                <a:srgbClr val="000000"/>
              </a:solidFill>
              <a:latin typeface="Arial"/>
              <a:cs typeface="Arial"/>
            </a:rPr>
            <a:t>Assume managed rooting depth of 4 feet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381000</xdr:colOff>
      <xdr:row>2</xdr:row>
      <xdr:rowOff>82550</xdr:rowOff>
    </xdr:from>
    <xdr:to>
      <xdr:col>24</xdr:col>
      <xdr:colOff>381000</xdr:colOff>
      <xdr:row>26</xdr:row>
      <xdr:rowOff>38100</xdr:rowOff>
    </xdr:to>
    <xdr:graphicFrame macro="">
      <xdr:nvGraphicFramePr>
        <xdr:cNvPr id="2124" name="Chart 2">
          <a:extLst>
            <a:ext uri="{FF2B5EF4-FFF2-40B4-BE49-F238E27FC236}">
              <a16:creationId xmlns:a16="http://schemas.microsoft.com/office/drawing/2014/main" id="{B9B96BDB-0F66-40DA-F926-2E5CD3D11D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076F2-81B6-48DD-8671-EDF2F1C23618}">
  <dimension ref="A3:S35"/>
  <sheetViews>
    <sheetView showGridLines="0" topLeftCell="A14" workbookViewId="0">
      <selection activeCell="F37" sqref="F37"/>
    </sheetView>
  </sheetViews>
  <sheetFormatPr defaultColWidth="9.1796875" defaultRowHeight="11.5" x14ac:dyDescent="0.25"/>
  <cols>
    <col min="1" max="1" width="15.1796875" style="6" customWidth="1"/>
    <col min="2" max="2" width="9.54296875" style="6" customWidth="1"/>
    <col min="3" max="16" width="9" style="6" customWidth="1"/>
    <col min="17" max="16384" width="9.1796875" style="6"/>
  </cols>
  <sheetData>
    <row r="3" spans="1:15" ht="12" thickBot="1" x14ac:dyDescent="0.3"/>
    <row r="4" spans="1:15" s="7" customFormat="1" ht="45.75" customHeight="1" x14ac:dyDescent="0.25">
      <c r="A4" s="7" t="s">
        <v>0</v>
      </c>
      <c r="B4" s="7" t="s">
        <v>1</v>
      </c>
      <c r="C4" s="7" t="s">
        <v>2</v>
      </c>
      <c r="D4" s="7" t="s">
        <v>3</v>
      </c>
      <c r="F4" s="7" t="s">
        <v>3</v>
      </c>
      <c r="H4" s="7" t="s">
        <v>3</v>
      </c>
      <c r="J4" s="8" t="s">
        <v>0</v>
      </c>
      <c r="K4" s="8" t="s">
        <v>1</v>
      </c>
      <c r="L4" s="8" t="s">
        <v>32</v>
      </c>
      <c r="M4" s="8" t="s">
        <v>31</v>
      </c>
      <c r="N4" s="8" t="s">
        <v>15</v>
      </c>
      <c r="O4" s="8" t="s">
        <v>33</v>
      </c>
    </row>
    <row r="5" spans="1:15" x14ac:dyDescent="0.25">
      <c r="A5" s="6" t="s">
        <v>4</v>
      </c>
      <c r="B5" s="9">
        <v>1.2</v>
      </c>
      <c r="C5" s="9">
        <v>0.5</v>
      </c>
      <c r="D5" s="9">
        <v>0.7</v>
      </c>
      <c r="E5" s="9"/>
      <c r="F5" s="9">
        <v>0.7</v>
      </c>
      <c r="G5" s="9"/>
      <c r="H5" s="9">
        <v>0.7</v>
      </c>
      <c r="J5" s="10" t="s">
        <v>4</v>
      </c>
      <c r="K5" s="11">
        <v>1.2</v>
      </c>
      <c r="L5" s="11">
        <v>0.5</v>
      </c>
      <c r="M5" s="11">
        <v>0.7</v>
      </c>
      <c r="N5" s="11">
        <v>2</v>
      </c>
      <c r="O5" s="12">
        <f>N5^2*3.1415/4*3.2*M5/12*7.48</f>
        <v>4.3863717333333341</v>
      </c>
    </row>
    <row r="6" spans="1:15" x14ac:dyDescent="0.25">
      <c r="A6" s="6" t="s">
        <v>5</v>
      </c>
      <c r="B6" s="9">
        <v>1.9</v>
      </c>
      <c r="C6" s="9">
        <v>0.8</v>
      </c>
      <c r="D6" s="9">
        <v>1.1000000000000001</v>
      </c>
      <c r="E6" s="9"/>
      <c r="F6" s="9">
        <v>1.1000000000000001</v>
      </c>
      <c r="G6" s="9"/>
      <c r="H6" s="9">
        <v>1.1000000000000001</v>
      </c>
      <c r="J6" s="10" t="s">
        <v>5</v>
      </c>
      <c r="K6" s="11">
        <v>1.9</v>
      </c>
      <c r="L6" s="11">
        <v>0.8</v>
      </c>
      <c r="M6" s="11">
        <v>1.1000000000000001</v>
      </c>
      <c r="N6" s="11">
        <v>3</v>
      </c>
      <c r="O6" s="12">
        <f t="shared" ref="O6:O15" si="0">N6^2*3.1415/4*3.2*M6/12*7.48</f>
        <v>15.508957200000003</v>
      </c>
    </row>
    <row r="7" spans="1:15" x14ac:dyDescent="0.25">
      <c r="A7" s="6" t="s">
        <v>6</v>
      </c>
      <c r="B7" s="9">
        <v>2.5</v>
      </c>
      <c r="C7" s="9">
        <v>1.1000000000000001</v>
      </c>
      <c r="D7" s="9">
        <v>1.4</v>
      </c>
      <c r="E7" s="9"/>
      <c r="F7" s="9">
        <v>1.4</v>
      </c>
      <c r="G7" s="9"/>
      <c r="H7" s="9">
        <v>1.4</v>
      </c>
      <c r="J7" s="10" t="s">
        <v>6</v>
      </c>
      <c r="K7" s="11">
        <v>2.5</v>
      </c>
      <c r="L7" s="11">
        <v>1.1000000000000001</v>
      </c>
      <c r="M7" s="11">
        <v>1.4</v>
      </c>
      <c r="N7" s="11">
        <v>4</v>
      </c>
      <c r="O7" s="12">
        <f t="shared" si="0"/>
        <v>35.090973866666673</v>
      </c>
    </row>
    <row r="8" spans="1:15" x14ac:dyDescent="0.25">
      <c r="A8" s="6" t="s">
        <v>7</v>
      </c>
      <c r="B8" s="9">
        <v>3.2</v>
      </c>
      <c r="C8" s="9">
        <v>1.4</v>
      </c>
      <c r="D8" s="9">
        <v>1.8</v>
      </c>
      <c r="E8" s="9"/>
      <c r="F8" s="9">
        <v>1.8</v>
      </c>
      <c r="G8" s="9"/>
      <c r="H8" s="9">
        <v>1.8</v>
      </c>
      <c r="J8" s="10" t="s">
        <v>7</v>
      </c>
      <c r="K8" s="11">
        <v>3.2</v>
      </c>
      <c r="L8" s="11">
        <v>1.4</v>
      </c>
      <c r="M8" s="11">
        <v>1.8</v>
      </c>
      <c r="N8" s="11">
        <v>5</v>
      </c>
      <c r="O8" s="12">
        <f t="shared" si="0"/>
        <v>70.495260000000016</v>
      </c>
    </row>
    <row r="9" spans="1:15" x14ac:dyDescent="0.25">
      <c r="A9" s="6" t="s">
        <v>8</v>
      </c>
      <c r="B9" s="9">
        <v>3.6</v>
      </c>
      <c r="C9" s="9">
        <v>1.8</v>
      </c>
      <c r="D9" s="9">
        <v>1.8</v>
      </c>
      <c r="E9" s="9"/>
      <c r="F9" s="9">
        <v>1.8</v>
      </c>
      <c r="G9" s="9"/>
      <c r="H9" s="9">
        <v>1.8</v>
      </c>
      <c r="J9" s="10" t="s">
        <v>8</v>
      </c>
      <c r="K9" s="11">
        <v>3.6</v>
      </c>
      <c r="L9" s="11">
        <v>1.8</v>
      </c>
      <c r="M9" s="11">
        <v>1.8</v>
      </c>
      <c r="N9" s="11">
        <v>6</v>
      </c>
      <c r="O9" s="12">
        <f t="shared" si="0"/>
        <v>101.51317440000001</v>
      </c>
    </row>
    <row r="10" spans="1:15" x14ac:dyDescent="0.25">
      <c r="A10" s="6" t="s">
        <v>9</v>
      </c>
      <c r="B10" s="9">
        <v>3.5</v>
      </c>
      <c r="C10" s="9">
        <v>2.2000000000000002</v>
      </c>
      <c r="D10" s="9">
        <v>1.3</v>
      </c>
      <c r="E10" s="9"/>
      <c r="F10" s="9">
        <v>1.3</v>
      </c>
      <c r="G10" s="9"/>
      <c r="H10" s="9">
        <v>1.3</v>
      </c>
      <c r="J10" s="10" t="s">
        <v>9</v>
      </c>
      <c r="K10" s="11">
        <v>3.5</v>
      </c>
      <c r="L10" s="11">
        <v>2.2000000000000002</v>
      </c>
      <c r="M10" s="11">
        <v>1.3</v>
      </c>
      <c r="N10" s="11">
        <v>7</v>
      </c>
      <c r="O10" s="12">
        <f t="shared" si="0"/>
        <v>99.789956933333357</v>
      </c>
    </row>
    <row r="11" spans="1:15" x14ac:dyDescent="0.25">
      <c r="A11" s="6" t="s">
        <v>10</v>
      </c>
      <c r="B11" s="9">
        <v>3.4</v>
      </c>
      <c r="C11" s="9">
        <v>1.8</v>
      </c>
      <c r="D11" s="9">
        <v>1.6</v>
      </c>
      <c r="E11" s="9"/>
      <c r="F11" s="9">
        <v>1.6</v>
      </c>
      <c r="G11" s="9"/>
      <c r="H11" s="9">
        <v>1.6</v>
      </c>
      <c r="J11" s="10" t="s">
        <v>10</v>
      </c>
      <c r="K11" s="11">
        <v>3.4</v>
      </c>
      <c r="L11" s="11">
        <v>1.8</v>
      </c>
      <c r="M11" s="11">
        <v>1.6</v>
      </c>
      <c r="N11" s="11">
        <v>7</v>
      </c>
      <c r="O11" s="12">
        <f t="shared" si="0"/>
        <v>122.81840853333335</v>
      </c>
    </row>
    <row r="12" spans="1:15" x14ac:dyDescent="0.25">
      <c r="A12" s="6" t="s">
        <v>11</v>
      </c>
      <c r="B12" s="9">
        <v>3.8</v>
      </c>
      <c r="C12" s="9">
        <v>2.2000000000000002</v>
      </c>
      <c r="D12" s="9">
        <v>1.7</v>
      </c>
      <c r="E12" s="9"/>
      <c r="F12" s="9">
        <v>1.7</v>
      </c>
      <c r="G12" s="9"/>
      <c r="H12" s="9">
        <v>1.7</v>
      </c>
      <c r="J12" s="10" t="s">
        <v>11</v>
      </c>
      <c r="K12" s="11">
        <v>3.8</v>
      </c>
      <c r="L12" s="11">
        <v>2.2000000000000002</v>
      </c>
      <c r="M12" s="11">
        <v>1.7</v>
      </c>
      <c r="N12" s="11">
        <v>8</v>
      </c>
      <c r="O12" s="12">
        <f t="shared" si="0"/>
        <v>170.44187306666672</v>
      </c>
    </row>
    <row r="13" spans="1:15" x14ac:dyDescent="0.25">
      <c r="A13" s="6" t="s">
        <v>12</v>
      </c>
      <c r="B13" s="9">
        <v>4.3</v>
      </c>
      <c r="C13" s="9">
        <v>2.4</v>
      </c>
      <c r="D13" s="9">
        <v>1.9</v>
      </c>
      <c r="E13" s="9"/>
      <c r="F13" s="9">
        <v>1.9</v>
      </c>
      <c r="G13" s="9"/>
      <c r="H13" s="9">
        <v>1.9</v>
      </c>
      <c r="J13" s="10" t="s">
        <v>12</v>
      </c>
      <c r="K13" s="11">
        <v>4.3</v>
      </c>
      <c r="L13" s="11">
        <v>2.4</v>
      </c>
      <c r="M13" s="11">
        <v>1.9</v>
      </c>
      <c r="N13" s="11">
        <v>9</v>
      </c>
      <c r="O13" s="12">
        <f t="shared" si="0"/>
        <v>241.09378920000003</v>
      </c>
    </row>
    <row r="14" spans="1:15" x14ac:dyDescent="0.25">
      <c r="A14" s="6" t="s">
        <v>13</v>
      </c>
      <c r="B14" s="9">
        <v>4.8</v>
      </c>
      <c r="C14" s="9">
        <v>2.4</v>
      </c>
      <c r="D14" s="9">
        <v>2.4</v>
      </c>
      <c r="E14" s="9"/>
      <c r="F14" s="9">
        <v>2.4</v>
      </c>
      <c r="G14" s="9"/>
      <c r="H14" s="9">
        <v>2.4</v>
      </c>
      <c r="J14" s="10" t="s">
        <v>13</v>
      </c>
      <c r="K14" s="11">
        <v>4.8</v>
      </c>
      <c r="L14" s="11">
        <v>2.4</v>
      </c>
      <c r="M14" s="11">
        <v>2.4</v>
      </c>
      <c r="N14" s="11">
        <v>9</v>
      </c>
      <c r="O14" s="12">
        <f t="shared" si="0"/>
        <v>304.53952320000008</v>
      </c>
    </row>
    <row r="15" spans="1:15" ht="12" thickBot="1" x14ac:dyDescent="0.3">
      <c r="A15" s="6" t="s">
        <v>14</v>
      </c>
      <c r="B15" s="9">
        <v>4.8</v>
      </c>
      <c r="C15" s="9">
        <v>2.6</v>
      </c>
      <c r="D15" s="9">
        <v>2.2000000000000002</v>
      </c>
      <c r="E15" s="9"/>
      <c r="F15" s="9">
        <v>2.2000000000000002</v>
      </c>
      <c r="G15" s="9"/>
      <c r="H15" s="9">
        <v>2.2000000000000002</v>
      </c>
      <c r="J15" s="13" t="s">
        <v>14</v>
      </c>
      <c r="K15" s="14">
        <v>4.8</v>
      </c>
      <c r="L15" s="14">
        <v>2.6</v>
      </c>
      <c r="M15" s="14">
        <v>2.2000000000000002</v>
      </c>
      <c r="N15" s="14">
        <v>10</v>
      </c>
      <c r="O15" s="15">
        <f t="shared" si="0"/>
        <v>344.64349333333342</v>
      </c>
    </row>
    <row r="16" spans="1:15" ht="18.75" customHeight="1" x14ac:dyDescent="0.25">
      <c r="A16" s="5"/>
      <c r="B16" s="5"/>
      <c r="C16" s="5"/>
      <c r="D16" s="5"/>
      <c r="E16" s="5"/>
      <c r="F16" s="5"/>
      <c r="G16" s="5"/>
      <c r="H16" s="5"/>
      <c r="I16" s="5"/>
      <c r="J16" s="6" t="s">
        <v>34</v>
      </c>
    </row>
    <row r="17" spans="1:19" ht="13.75" customHeight="1" thickBot="1" x14ac:dyDescent="0.3">
      <c r="A17" s="5"/>
      <c r="B17" s="5"/>
      <c r="C17" s="5"/>
      <c r="D17" s="5"/>
      <c r="E17" s="5"/>
      <c r="F17" s="5"/>
      <c r="G17" s="5"/>
      <c r="H17" s="5"/>
      <c r="I17" s="5"/>
      <c r="J17" s="17" t="s">
        <v>35</v>
      </c>
    </row>
    <row r="18" spans="1:19" s="18" customFormat="1" ht="76.75" customHeight="1" x14ac:dyDescent="0.3">
      <c r="A18" s="22" t="s">
        <v>0</v>
      </c>
      <c r="B18" s="23" t="s">
        <v>3</v>
      </c>
      <c r="C18" s="23" t="s">
        <v>15</v>
      </c>
      <c r="D18" s="24" t="s">
        <v>28</v>
      </c>
      <c r="E18" s="25" t="s">
        <v>27</v>
      </c>
      <c r="F18" s="26" t="s">
        <v>29</v>
      </c>
      <c r="G18" s="25" t="s">
        <v>27</v>
      </c>
      <c r="H18" s="26" t="s">
        <v>30</v>
      </c>
      <c r="I18" s="27" t="s">
        <v>27</v>
      </c>
      <c r="K18" s="6"/>
      <c r="L18" s="6"/>
      <c r="M18" s="6"/>
      <c r="N18" s="6"/>
      <c r="O18" s="6"/>
      <c r="P18" s="6"/>
      <c r="Q18" s="6"/>
      <c r="R18" s="6"/>
      <c r="S18" s="6"/>
    </row>
    <row r="19" spans="1:19" s="16" customFormat="1" ht="15.75" customHeight="1" x14ac:dyDescent="0.3">
      <c r="A19" s="28" t="s">
        <v>4</v>
      </c>
      <c r="B19" s="29">
        <v>0.7</v>
      </c>
      <c r="C19" s="30">
        <v>2</v>
      </c>
      <c r="D19" s="31">
        <f>(C19/2)^2*3.1415*3.2*(B19/12)*7.48/2</f>
        <v>2.193185866666667</v>
      </c>
      <c r="E19" s="32">
        <f>D19*4/69</f>
        <v>0.12714120966183576</v>
      </c>
      <c r="F19" s="33">
        <f>(6+0.25*C19)^2*3.1415*4*(B19/12)/2*7.48/10</f>
        <v>11.582762858333334</v>
      </c>
      <c r="G19" s="32">
        <f>F19*10/69</f>
        <v>1.6786612838164252</v>
      </c>
      <c r="H19" s="60">
        <f t="shared" ref="H19:H29" si="1">((7.5+0.25*C19)^2*3.1415*4*(B19/12)*7.48/14)*0.5</f>
        <v>12.532490666666666</v>
      </c>
      <c r="I19" s="34">
        <f>H19*14/69</f>
        <v>2.542824193236715</v>
      </c>
      <c r="K19" s="6"/>
      <c r="L19" s="6"/>
      <c r="M19" s="6"/>
      <c r="N19" s="6"/>
      <c r="O19" s="6"/>
      <c r="P19" s="6"/>
      <c r="Q19" s="6"/>
      <c r="R19" s="6"/>
      <c r="S19" s="6"/>
    </row>
    <row r="20" spans="1:19" s="16" customFormat="1" ht="15.75" customHeight="1" x14ac:dyDescent="0.3">
      <c r="A20" s="28" t="s">
        <v>5</v>
      </c>
      <c r="B20" s="35">
        <v>1.1000000000000001</v>
      </c>
      <c r="C20" s="36">
        <v>3</v>
      </c>
      <c r="D20" s="31">
        <f>(C20/2)^2*3.1415*3.2*(B20/12)*7.48/2</f>
        <v>7.7544786000000032</v>
      </c>
      <c r="E20" s="32">
        <f t="shared" ref="E20:E29" si="2">D20*4/69</f>
        <v>0.44953499130434799</v>
      </c>
      <c r="F20" s="33">
        <f t="shared" ref="F20:F29" si="3">(6+0.25*C20)^2*3.1415*4*(B20/12)/2*7.48/10</f>
        <v>19.628523956250007</v>
      </c>
      <c r="G20" s="32">
        <f t="shared" ref="G20:G29" si="4">F20*10/69</f>
        <v>2.8447136168478271</v>
      </c>
      <c r="H20" s="60">
        <f t="shared" si="1"/>
        <v>20.944015861607145</v>
      </c>
      <c r="I20" s="34">
        <f t="shared" ref="I20:I29" si="5">H20*14/69</f>
        <v>4.2495104646739135</v>
      </c>
      <c r="K20" s="6"/>
      <c r="L20" s="6"/>
      <c r="M20" s="6"/>
      <c r="N20" s="6"/>
      <c r="O20" s="6"/>
      <c r="P20" s="6"/>
      <c r="Q20" s="6"/>
      <c r="R20" s="6"/>
      <c r="S20" s="6"/>
    </row>
    <row r="21" spans="1:19" s="16" customFormat="1" ht="15.75" customHeight="1" x14ac:dyDescent="0.3">
      <c r="A21" s="28" t="s">
        <v>6</v>
      </c>
      <c r="B21" s="35">
        <v>1.4</v>
      </c>
      <c r="C21" s="36">
        <v>4</v>
      </c>
      <c r="D21" s="31">
        <f>(C21/2)^2*3.1415*3.2*(B21/12)*7.48/2</f>
        <v>17.545486933333336</v>
      </c>
      <c r="E21" s="32">
        <f t="shared" si="2"/>
        <v>1.0171296772946861</v>
      </c>
      <c r="F21" s="33">
        <f t="shared" si="3"/>
        <v>26.866526866666668</v>
      </c>
      <c r="G21" s="32">
        <f t="shared" si="4"/>
        <v>3.8936995458937202</v>
      </c>
      <c r="H21" s="60">
        <f t="shared" si="1"/>
        <v>28.296014083333336</v>
      </c>
      <c r="I21" s="34">
        <f t="shared" si="5"/>
        <v>5.7412202487922706</v>
      </c>
      <c r="K21" s="6"/>
      <c r="L21" s="6"/>
      <c r="M21" s="6"/>
      <c r="N21" s="6"/>
      <c r="O21" s="6"/>
      <c r="P21" s="6"/>
      <c r="Q21" s="6"/>
      <c r="R21" s="6"/>
      <c r="S21" s="6"/>
    </row>
    <row r="22" spans="1:19" s="16" customFormat="1" ht="15.75" customHeight="1" x14ac:dyDescent="0.3">
      <c r="A22" s="28" t="s">
        <v>7</v>
      </c>
      <c r="B22" s="35">
        <v>1.8</v>
      </c>
      <c r="C22" s="36">
        <v>5</v>
      </c>
      <c r="D22" s="31">
        <f>4*C22*3.2*(B22/12)*7.48/2</f>
        <v>35.904000000000003</v>
      </c>
      <c r="E22" s="32">
        <f t="shared" si="2"/>
        <v>2.0813913043478265</v>
      </c>
      <c r="F22" s="33">
        <f t="shared" si="3"/>
        <v>37.054071037500009</v>
      </c>
      <c r="G22" s="32">
        <f t="shared" si="4"/>
        <v>5.3701552228260887</v>
      </c>
      <c r="H22" s="60">
        <f t="shared" si="1"/>
        <v>38.552095312500001</v>
      </c>
      <c r="I22" s="34">
        <f t="shared" si="5"/>
        <v>7.8221642663043482</v>
      </c>
      <c r="K22" s="6"/>
      <c r="L22" s="6"/>
      <c r="M22" s="6"/>
      <c r="N22" s="6"/>
      <c r="O22" s="6"/>
      <c r="P22" s="6"/>
      <c r="Q22" s="6"/>
      <c r="R22" s="6"/>
      <c r="S22" s="6"/>
    </row>
    <row r="23" spans="1:19" s="16" customFormat="1" ht="15.75" customHeight="1" x14ac:dyDescent="0.3">
      <c r="A23" s="28" t="s">
        <v>8</v>
      </c>
      <c r="B23" s="35">
        <v>1.8</v>
      </c>
      <c r="C23" s="36">
        <v>6</v>
      </c>
      <c r="D23" s="31">
        <f t="shared" ref="D23:D29" si="6">4*C23*3.2*(B23/12)*7.48/2</f>
        <v>43.084800000000008</v>
      </c>
      <c r="E23" s="32">
        <f t="shared" si="2"/>
        <v>2.4976695652173917</v>
      </c>
      <c r="F23" s="33">
        <f t="shared" si="3"/>
        <v>39.653583750000003</v>
      </c>
      <c r="G23" s="32">
        <f t="shared" si="4"/>
        <v>5.746896195652174</v>
      </c>
      <c r="H23" s="60">
        <f t="shared" si="1"/>
        <v>40.786543285714288</v>
      </c>
      <c r="I23" s="34">
        <f t="shared" si="5"/>
        <v>8.2755305217391317</v>
      </c>
      <c r="K23" s="6"/>
      <c r="L23" s="6"/>
      <c r="M23" s="6"/>
      <c r="N23" s="6"/>
      <c r="O23" s="6"/>
      <c r="P23" s="6"/>
      <c r="Q23" s="6"/>
      <c r="R23" s="6"/>
      <c r="S23" s="6"/>
    </row>
    <row r="24" spans="1:19" s="16" customFormat="1" ht="15.75" customHeight="1" x14ac:dyDescent="0.3">
      <c r="A24" s="28" t="s">
        <v>9</v>
      </c>
      <c r="B24" s="35">
        <v>1.3</v>
      </c>
      <c r="C24" s="36">
        <v>7</v>
      </c>
      <c r="D24" s="31">
        <f t="shared" si="6"/>
        <v>36.302933333333343</v>
      </c>
      <c r="E24" s="32">
        <f t="shared" si="2"/>
        <v>2.1045178743961359</v>
      </c>
      <c r="F24" s="33">
        <f t="shared" si="3"/>
        <v>30.579766777083343</v>
      </c>
      <c r="G24" s="32">
        <f t="shared" si="4"/>
        <v>4.4318502575483105</v>
      </c>
      <c r="H24" s="60">
        <f t="shared" si="1"/>
        <v>31.11617416220238</v>
      </c>
      <c r="I24" s="34">
        <f t="shared" si="5"/>
        <v>6.3134266416062799</v>
      </c>
      <c r="K24" s="6"/>
      <c r="L24" s="6"/>
      <c r="M24" s="6"/>
      <c r="N24" s="6"/>
      <c r="O24" s="6"/>
      <c r="P24" s="6"/>
      <c r="Q24" s="6"/>
      <c r="R24" s="6"/>
      <c r="S24" s="6"/>
    </row>
    <row r="25" spans="1:19" s="16" customFormat="1" ht="15.75" customHeight="1" x14ac:dyDescent="0.3">
      <c r="A25" s="28" t="s">
        <v>10</v>
      </c>
      <c r="B25" s="35">
        <v>1.6</v>
      </c>
      <c r="C25" s="36">
        <v>7</v>
      </c>
      <c r="D25" s="31">
        <f t="shared" si="6"/>
        <v>44.680533333333337</v>
      </c>
      <c r="E25" s="32">
        <f t="shared" si="2"/>
        <v>2.5901758454106281</v>
      </c>
      <c r="F25" s="33">
        <f t="shared" si="3"/>
        <v>37.636636033333346</v>
      </c>
      <c r="G25" s="32">
        <f t="shared" si="4"/>
        <v>5.4545849323671511</v>
      </c>
      <c r="H25" s="60">
        <f t="shared" si="1"/>
        <v>38.296829738095241</v>
      </c>
      <c r="I25" s="34">
        <f t="shared" si="5"/>
        <v>7.7703712512077292</v>
      </c>
      <c r="K25" s="6"/>
      <c r="L25" s="6"/>
      <c r="M25" s="6"/>
      <c r="N25" s="6"/>
      <c r="O25" s="6"/>
      <c r="P25" s="6"/>
      <c r="Q25" s="6"/>
      <c r="R25" s="6"/>
      <c r="S25" s="6"/>
    </row>
    <row r="26" spans="1:19" s="16" customFormat="1" ht="15.75" customHeight="1" x14ac:dyDescent="0.3">
      <c r="A26" s="28" t="s">
        <v>11</v>
      </c>
      <c r="B26" s="35">
        <v>1.7</v>
      </c>
      <c r="C26" s="36">
        <v>8</v>
      </c>
      <c r="D26" s="31">
        <f t="shared" si="6"/>
        <v>54.254933333333341</v>
      </c>
      <c r="E26" s="32">
        <f t="shared" si="2"/>
        <v>3.1452135265700489</v>
      </c>
      <c r="F26" s="33">
        <f t="shared" si="3"/>
        <v>42.610468266666672</v>
      </c>
      <c r="G26" s="32">
        <f t="shared" si="4"/>
        <v>6.1754301835748793</v>
      </c>
      <c r="H26" s="60">
        <f t="shared" si="1"/>
        <v>42.919584386904759</v>
      </c>
      <c r="I26" s="34">
        <f t="shared" si="5"/>
        <v>8.7083214698067621</v>
      </c>
      <c r="K26" s="6"/>
      <c r="L26" s="6"/>
      <c r="M26" s="6"/>
      <c r="N26" s="6"/>
      <c r="O26" s="6"/>
      <c r="P26" s="6"/>
      <c r="Q26" s="6"/>
      <c r="R26" s="6"/>
      <c r="S26" s="6"/>
    </row>
    <row r="27" spans="1:19" s="16" customFormat="1" ht="15.75" customHeight="1" x14ac:dyDescent="0.3">
      <c r="A27" s="28" t="s">
        <v>12</v>
      </c>
      <c r="B27" s="35">
        <v>1.9</v>
      </c>
      <c r="C27" s="36">
        <v>9</v>
      </c>
      <c r="D27" s="31">
        <f t="shared" si="6"/>
        <v>68.217600000000004</v>
      </c>
      <c r="E27" s="32">
        <f t="shared" si="2"/>
        <v>3.9546434782608699</v>
      </c>
      <c r="F27" s="33">
        <f t="shared" si="3"/>
        <v>50.646438356250009</v>
      </c>
      <c r="G27" s="32">
        <f t="shared" si="4"/>
        <v>7.3400635298913057</v>
      </c>
      <c r="H27" s="60">
        <f t="shared" si="1"/>
        <v>50.526848183035725</v>
      </c>
      <c r="I27" s="34">
        <f t="shared" si="5"/>
        <v>10.251824269021741</v>
      </c>
      <c r="K27" s="6"/>
      <c r="L27" s="6"/>
      <c r="M27" s="6"/>
      <c r="N27" s="6"/>
      <c r="O27" s="6"/>
      <c r="P27" s="6"/>
      <c r="Q27" s="6"/>
      <c r="R27" s="6"/>
      <c r="S27" s="6"/>
    </row>
    <row r="28" spans="1:19" s="16" customFormat="1" ht="15.75" customHeight="1" x14ac:dyDescent="0.3">
      <c r="A28" s="28" t="s">
        <v>13</v>
      </c>
      <c r="B28" s="35">
        <v>2.4</v>
      </c>
      <c r="C28" s="36">
        <v>9</v>
      </c>
      <c r="D28" s="31">
        <f t="shared" si="6"/>
        <v>86.169600000000003</v>
      </c>
      <c r="E28" s="32">
        <f t="shared" si="2"/>
        <v>4.9953391304347825</v>
      </c>
      <c r="F28" s="33">
        <f t="shared" si="3"/>
        <v>63.974448449999997</v>
      </c>
      <c r="G28" s="32">
        <f t="shared" si="4"/>
        <v>9.2716591956521732</v>
      </c>
      <c r="H28" s="60">
        <f t="shared" si="1"/>
        <v>63.82338717857143</v>
      </c>
      <c r="I28" s="34">
        <f t="shared" si="5"/>
        <v>12.949672760869566</v>
      </c>
      <c r="K28" s="6"/>
      <c r="L28" s="6"/>
      <c r="M28" s="6"/>
      <c r="N28" s="6"/>
      <c r="O28" s="6"/>
      <c r="P28" s="6"/>
      <c r="Q28" s="6"/>
      <c r="R28" s="6"/>
      <c r="S28" s="6"/>
    </row>
    <row r="29" spans="1:19" s="16" customFormat="1" ht="15.75" customHeight="1" thickBot="1" x14ac:dyDescent="0.35">
      <c r="A29" s="28" t="s">
        <v>14</v>
      </c>
      <c r="B29" s="37">
        <v>2.2000000000000002</v>
      </c>
      <c r="C29" s="38">
        <v>10</v>
      </c>
      <c r="D29" s="39">
        <f t="shared" si="6"/>
        <v>87.765333333333345</v>
      </c>
      <c r="E29" s="40">
        <f t="shared" si="2"/>
        <v>5.0878454106280202</v>
      </c>
      <c r="F29" s="41">
        <f t="shared" si="3"/>
        <v>62.251230983333343</v>
      </c>
      <c r="G29" s="40">
        <f t="shared" si="4"/>
        <v>9.0219175338164277</v>
      </c>
      <c r="H29" s="64">
        <f t="shared" si="1"/>
        <v>61.543480952380968</v>
      </c>
      <c r="I29" s="42">
        <f t="shared" si="5"/>
        <v>12.487083091787444</v>
      </c>
      <c r="K29" s="6"/>
      <c r="L29" s="6"/>
      <c r="M29" s="6"/>
      <c r="N29" s="6"/>
      <c r="O29" s="6"/>
      <c r="P29" s="6"/>
      <c r="Q29" s="6"/>
      <c r="R29" s="6"/>
      <c r="S29" s="6"/>
    </row>
    <row r="30" spans="1:19" s="16" customFormat="1" ht="14.25" customHeight="1" x14ac:dyDescent="0.25">
      <c r="A30" s="20" t="s">
        <v>36</v>
      </c>
      <c r="B30" s="21"/>
      <c r="K30" s="6"/>
      <c r="L30" s="6"/>
      <c r="M30" s="6"/>
      <c r="N30" s="6"/>
      <c r="O30" s="6"/>
      <c r="P30" s="6"/>
      <c r="Q30" s="6"/>
      <c r="R30" s="6"/>
      <c r="S30" s="6"/>
    </row>
    <row r="31" spans="1:19" ht="14.25" customHeight="1" x14ac:dyDescent="0.25">
      <c r="A31" s="16" t="s">
        <v>26</v>
      </c>
      <c r="B31" s="16"/>
      <c r="C31" s="16"/>
      <c r="D31" s="16"/>
      <c r="E31" s="16"/>
      <c r="F31" s="16"/>
      <c r="G31" s="16"/>
      <c r="H31" s="16"/>
    </row>
    <row r="32" spans="1:19" x14ac:dyDescent="0.25">
      <c r="A32" s="16"/>
      <c r="B32" s="16"/>
      <c r="C32" s="16"/>
      <c r="D32" s="16"/>
      <c r="E32" s="16"/>
      <c r="F32" s="16"/>
      <c r="G32" s="16"/>
      <c r="H32" s="16"/>
    </row>
    <row r="33" spans="1:8" x14ac:dyDescent="0.25">
      <c r="A33" s="16"/>
      <c r="B33" s="16"/>
      <c r="C33" s="16"/>
      <c r="D33" s="16"/>
      <c r="E33" s="16"/>
      <c r="F33" s="16"/>
      <c r="G33" s="16"/>
      <c r="H33" s="16"/>
    </row>
    <row r="34" spans="1:8" x14ac:dyDescent="0.25">
      <c r="A34" s="16"/>
      <c r="B34" s="16"/>
      <c r="C34" s="16"/>
      <c r="D34" s="16"/>
      <c r="E34" s="16"/>
      <c r="F34" s="16"/>
      <c r="G34" s="16"/>
      <c r="H34" s="16"/>
    </row>
    <row r="35" spans="1:8" x14ac:dyDescent="0.25">
      <c r="A35" s="16"/>
      <c r="B35" s="16"/>
      <c r="C35" s="16"/>
      <c r="D35" s="16"/>
      <c r="E35" s="16"/>
      <c r="F35" s="16"/>
      <c r="G35" s="16"/>
      <c r="H35" s="16"/>
    </row>
  </sheetData>
  <phoneticPr fontId="7" type="noConversion"/>
  <pageMargins left="0.75" right="0.75" top="1" bottom="1" header="0.5" footer="0.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3424B-2AED-45B8-8840-956E9234ECE7}">
  <dimension ref="A1"/>
  <sheetViews>
    <sheetView workbookViewId="0"/>
  </sheetViews>
  <sheetFormatPr defaultRowHeight="12.5" x14ac:dyDescent="0.25"/>
  <sheetData/>
  <phoneticPr fontId="7"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6B0EF7-343C-4612-97C5-C20AA8258CF6}">
  <dimension ref="A3:O36"/>
  <sheetViews>
    <sheetView showGridLines="0" topLeftCell="A16" workbookViewId="0">
      <selection activeCell="K19" sqref="K19:L19"/>
    </sheetView>
  </sheetViews>
  <sheetFormatPr defaultColWidth="9.1796875" defaultRowHeight="12.5" x14ac:dyDescent="0.25"/>
  <cols>
    <col min="1" max="1" width="16.1796875" style="6" customWidth="1"/>
    <col min="2" max="9" width="9.7265625" style="6" customWidth="1"/>
    <col min="10" max="10" width="16.7265625" style="43" customWidth="1"/>
    <col min="11" max="14" width="13.26953125" style="43" customWidth="1"/>
    <col min="15" max="15" width="11.54296875" style="43" customWidth="1"/>
    <col min="16" max="16" width="11.54296875" style="6" customWidth="1"/>
    <col min="17" max="16384" width="9.1796875" style="6"/>
  </cols>
  <sheetData>
    <row r="3" spans="2:15" ht="13" thickBot="1" x14ac:dyDescent="0.3"/>
    <row r="4" spans="2:15" s="7" customFormat="1" ht="66" customHeight="1" x14ac:dyDescent="0.3">
      <c r="J4" s="44" t="s">
        <v>0</v>
      </c>
      <c r="K4" s="44" t="s">
        <v>1</v>
      </c>
      <c r="L4" s="44" t="s">
        <v>32</v>
      </c>
      <c r="M4" s="44" t="s">
        <v>31</v>
      </c>
      <c r="N4" s="44" t="s">
        <v>15</v>
      </c>
      <c r="O4" s="44" t="s">
        <v>33</v>
      </c>
    </row>
    <row r="5" spans="2:15" ht="15" customHeight="1" x14ac:dyDescent="0.3">
      <c r="B5" s="9"/>
      <c r="C5" s="9"/>
      <c r="D5" s="9"/>
      <c r="E5" s="9"/>
      <c r="F5" s="9"/>
      <c r="G5" s="9"/>
      <c r="H5" s="9"/>
      <c r="J5" s="45" t="s">
        <v>4</v>
      </c>
      <c r="K5" s="46">
        <v>1.2</v>
      </c>
      <c r="L5" s="46">
        <v>0.5</v>
      </c>
      <c r="M5" s="46">
        <v>0.7</v>
      </c>
      <c r="N5" s="46">
        <v>2</v>
      </c>
      <c r="O5" s="47">
        <f t="shared" ref="O5:O15" si="0">N5^2*3.1415/4*3.2*M5/12*7.48</f>
        <v>4.3863717333333341</v>
      </c>
    </row>
    <row r="6" spans="2:15" ht="15" customHeight="1" x14ac:dyDescent="0.3">
      <c r="B6" s="9"/>
      <c r="C6" s="9"/>
      <c r="D6" s="9"/>
      <c r="E6" s="9"/>
      <c r="F6" s="9"/>
      <c r="G6" s="9"/>
      <c r="H6" s="9"/>
      <c r="J6" s="45" t="s">
        <v>5</v>
      </c>
      <c r="K6" s="46">
        <v>1.9</v>
      </c>
      <c r="L6" s="46">
        <v>0.8</v>
      </c>
      <c r="M6" s="46">
        <v>1.1000000000000001</v>
      </c>
      <c r="N6" s="46">
        <v>3</v>
      </c>
      <c r="O6" s="47">
        <f t="shared" si="0"/>
        <v>15.508957200000003</v>
      </c>
    </row>
    <row r="7" spans="2:15" ht="15" customHeight="1" x14ac:dyDescent="0.3">
      <c r="B7" s="9"/>
      <c r="C7" s="9"/>
      <c r="D7" s="9"/>
      <c r="E7" s="9"/>
      <c r="F7" s="9"/>
      <c r="G7" s="9"/>
      <c r="H7" s="9"/>
      <c r="J7" s="45" t="s">
        <v>6</v>
      </c>
      <c r="K7" s="46">
        <v>2.5</v>
      </c>
      <c r="L7" s="46">
        <v>1.1000000000000001</v>
      </c>
      <c r="M7" s="46">
        <v>1.4</v>
      </c>
      <c r="N7" s="46">
        <v>4</v>
      </c>
      <c r="O7" s="47">
        <f t="shared" si="0"/>
        <v>35.090973866666673</v>
      </c>
    </row>
    <row r="8" spans="2:15" ht="15" customHeight="1" x14ac:dyDescent="0.3">
      <c r="B8" s="9"/>
      <c r="C8" s="9"/>
      <c r="D8" s="9"/>
      <c r="E8" s="9"/>
      <c r="F8" s="9"/>
      <c r="G8" s="9"/>
      <c r="H8" s="9"/>
      <c r="J8" s="45" t="s">
        <v>7</v>
      </c>
      <c r="K8" s="46">
        <v>3.2</v>
      </c>
      <c r="L8" s="46">
        <v>1.4</v>
      </c>
      <c r="M8" s="46">
        <v>1.8</v>
      </c>
      <c r="N8" s="46">
        <v>5</v>
      </c>
      <c r="O8" s="47">
        <f t="shared" si="0"/>
        <v>70.495260000000016</v>
      </c>
    </row>
    <row r="9" spans="2:15" ht="15" customHeight="1" x14ac:dyDescent="0.3">
      <c r="B9" s="9"/>
      <c r="C9" s="9"/>
      <c r="D9" s="9"/>
      <c r="E9" s="9"/>
      <c r="F9" s="9"/>
      <c r="G9" s="9"/>
      <c r="H9" s="9"/>
      <c r="J9" s="45" t="s">
        <v>8</v>
      </c>
      <c r="K9" s="46">
        <v>3.6</v>
      </c>
      <c r="L9" s="46">
        <v>1.8</v>
      </c>
      <c r="M9" s="46">
        <v>1.8</v>
      </c>
      <c r="N9" s="46">
        <v>6</v>
      </c>
      <c r="O9" s="47">
        <f t="shared" si="0"/>
        <v>101.51317440000001</v>
      </c>
    </row>
    <row r="10" spans="2:15" ht="15" customHeight="1" x14ac:dyDescent="0.3">
      <c r="B10" s="9"/>
      <c r="C10" s="9"/>
      <c r="D10" s="9"/>
      <c r="E10" s="9"/>
      <c r="F10" s="9"/>
      <c r="G10" s="9"/>
      <c r="H10" s="9"/>
      <c r="J10" s="45" t="s">
        <v>9</v>
      </c>
      <c r="K10" s="46">
        <v>3.5</v>
      </c>
      <c r="L10" s="46">
        <v>2.2000000000000002</v>
      </c>
      <c r="M10" s="46">
        <v>1.3</v>
      </c>
      <c r="N10" s="46">
        <v>7</v>
      </c>
      <c r="O10" s="47">
        <f t="shared" si="0"/>
        <v>99.789956933333357</v>
      </c>
    </row>
    <row r="11" spans="2:15" ht="15" customHeight="1" x14ac:dyDescent="0.3">
      <c r="B11" s="9"/>
      <c r="C11" s="9"/>
      <c r="D11" s="9"/>
      <c r="E11" s="9"/>
      <c r="F11" s="9"/>
      <c r="G11" s="9"/>
      <c r="H11" s="9"/>
      <c r="J11" s="45" t="s">
        <v>10</v>
      </c>
      <c r="K11" s="46">
        <v>3.4</v>
      </c>
      <c r="L11" s="46">
        <v>1.8</v>
      </c>
      <c r="M11" s="46">
        <v>1.6</v>
      </c>
      <c r="N11" s="46">
        <v>7</v>
      </c>
      <c r="O11" s="47">
        <f t="shared" si="0"/>
        <v>122.81840853333335</v>
      </c>
    </row>
    <row r="12" spans="2:15" ht="15" customHeight="1" x14ac:dyDescent="0.3">
      <c r="B12" s="9"/>
      <c r="C12" s="9"/>
      <c r="D12" s="9"/>
      <c r="E12" s="9"/>
      <c r="F12" s="9"/>
      <c r="G12" s="9"/>
      <c r="H12" s="9"/>
      <c r="J12" s="45" t="s">
        <v>11</v>
      </c>
      <c r="K12" s="46">
        <v>3.8</v>
      </c>
      <c r="L12" s="46">
        <v>2.2000000000000002</v>
      </c>
      <c r="M12" s="46">
        <v>1.7</v>
      </c>
      <c r="N12" s="46">
        <v>8</v>
      </c>
      <c r="O12" s="47">
        <f t="shared" si="0"/>
        <v>170.44187306666672</v>
      </c>
    </row>
    <row r="13" spans="2:15" ht="15" customHeight="1" x14ac:dyDescent="0.3">
      <c r="B13" s="9"/>
      <c r="C13" s="9"/>
      <c r="D13" s="9"/>
      <c r="E13" s="9"/>
      <c r="F13" s="9"/>
      <c r="G13" s="9"/>
      <c r="H13" s="9"/>
      <c r="J13" s="45" t="s">
        <v>12</v>
      </c>
      <c r="K13" s="46">
        <v>4.3</v>
      </c>
      <c r="L13" s="46">
        <v>2.4</v>
      </c>
      <c r="M13" s="46">
        <v>1.9</v>
      </c>
      <c r="N13" s="46">
        <v>9</v>
      </c>
      <c r="O13" s="47">
        <f t="shared" si="0"/>
        <v>241.09378920000003</v>
      </c>
    </row>
    <row r="14" spans="2:15" ht="15" customHeight="1" x14ac:dyDescent="0.3">
      <c r="B14" s="9"/>
      <c r="C14" s="9"/>
      <c r="D14" s="9"/>
      <c r="E14" s="9"/>
      <c r="F14" s="9"/>
      <c r="G14" s="9"/>
      <c r="H14" s="9"/>
      <c r="J14" s="45" t="s">
        <v>13</v>
      </c>
      <c r="K14" s="46">
        <v>4.8</v>
      </c>
      <c r="L14" s="46">
        <v>2.4</v>
      </c>
      <c r="M14" s="46">
        <v>2.4</v>
      </c>
      <c r="N14" s="46">
        <v>9</v>
      </c>
      <c r="O14" s="47">
        <f t="shared" si="0"/>
        <v>304.53952320000008</v>
      </c>
    </row>
    <row r="15" spans="2:15" ht="15" customHeight="1" thickBot="1" x14ac:dyDescent="0.35">
      <c r="B15" s="9"/>
      <c r="C15" s="9"/>
      <c r="D15" s="9"/>
      <c r="E15" s="9"/>
      <c r="F15" s="9"/>
      <c r="G15" s="9"/>
      <c r="H15" s="9"/>
      <c r="J15" s="48" t="s">
        <v>14</v>
      </c>
      <c r="K15" s="49">
        <v>4.8</v>
      </c>
      <c r="L15" s="49">
        <v>2.6</v>
      </c>
      <c r="M15" s="49">
        <v>2.2000000000000002</v>
      </c>
      <c r="N15" s="49">
        <v>10</v>
      </c>
      <c r="O15" s="50">
        <f t="shared" si="0"/>
        <v>344.64349333333342</v>
      </c>
    </row>
    <row r="16" spans="2:15" ht="78.75" customHeight="1" x14ac:dyDescent="0.3">
      <c r="J16" s="165" t="s">
        <v>39</v>
      </c>
      <c r="K16" s="165"/>
      <c r="L16" s="165"/>
      <c r="M16" s="165"/>
      <c r="N16" s="165"/>
      <c r="O16" s="165"/>
    </row>
    <row r="17" spans="1:15" ht="10.75" customHeight="1" x14ac:dyDescent="0.25">
      <c r="J17" s="51"/>
    </row>
    <row r="18" spans="1:15" s="16" customFormat="1" ht="40.75" customHeight="1" thickBot="1" x14ac:dyDescent="0.3">
      <c r="A18" s="5"/>
      <c r="B18" s="5"/>
      <c r="C18" s="5"/>
      <c r="D18" s="5"/>
      <c r="E18" s="5"/>
      <c r="F18" s="5"/>
      <c r="G18" s="5"/>
      <c r="H18" s="5"/>
      <c r="I18" s="5"/>
      <c r="J18" s="43"/>
      <c r="K18" s="52"/>
      <c r="L18" s="43"/>
      <c r="M18" s="43"/>
      <c r="N18" s="43"/>
      <c r="O18" s="43"/>
    </row>
    <row r="19" spans="1:15" s="16" customFormat="1" ht="81" customHeight="1" x14ac:dyDescent="0.3">
      <c r="A19" s="22" t="s">
        <v>0</v>
      </c>
      <c r="B19" s="23" t="s">
        <v>3</v>
      </c>
      <c r="C19" s="23" t="s">
        <v>15</v>
      </c>
      <c r="D19" s="55" t="s">
        <v>121</v>
      </c>
      <c r="E19" s="53" t="s">
        <v>37</v>
      </c>
      <c r="F19" s="56" t="s">
        <v>122</v>
      </c>
      <c r="G19" s="53" t="s">
        <v>37</v>
      </c>
      <c r="H19" s="56" t="s">
        <v>123</v>
      </c>
      <c r="I19" s="54" t="s">
        <v>37</v>
      </c>
      <c r="J19" s="43"/>
      <c r="K19" s="43"/>
      <c r="L19" s="43"/>
      <c r="M19" s="43"/>
      <c r="N19" s="43"/>
      <c r="O19" s="43"/>
    </row>
    <row r="20" spans="1:15" s="16" customFormat="1" ht="15.75" customHeight="1" x14ac:dyDescent="0.3">
      <c r="A20" s="28" t="s">
        <v>4</v>
      </c>
      <c r="B20" s="29">
        <v>0.7</v>
      </c>
      <c r="C20" s="30">
        <v>2</v>
      </c>
      <c r="D20" s="31">
        <f>(C20/2)^2*3.1415*3.2*(B20/12)*7.48/2</f>
        <v>2.193185866666667</v>
      </c>
      <c r="E20" s="62">
        <f>D20*10/82</f>
        <v>0.26746169105691059</v>
      </c>
      <c r="F20" s="60">
        <f t="shared" ref="F20:F30" si="1">((6+0.25*C20)^2*3.1415*4*(B20/12)*7.48/10)*0.5</f>
        <v>11.582762858333334</v>
      </c>
      <c r="G20" s="32">
        <f>F20*10/82</f>
        <v>1.4125320558943091</v>
      </c>
      <c r="H20" s="60">
        <f t="shared" ref="H20:H30" si="2">((7.5+0.25*C20)^2*3.1415*4*(B20/12)*7.48/14)*0.5</f>
        <v>12.532490666666666</v>
      </c>
      <c r="I20" s="34">
        <f>H20*14/82</f>
        <v>2.1396935284552847</v>
      </c>
      <c r="J20" s="43"/>
      <c r="K20" s="43"/>
      <c r="L20" s="43"/>
      <c r="M20" s="43"/>
      <c r="N20" s="43"/>
      <c r="O20" s="43"/>
    </row>
    <row r="21" spans="1:15" s="16" customFormat="1" ht="15.75" customHeight="1" x14ac:dyDescent="0.3">
      <c r="A21" s="28" t="s">
        <v>5</v>
      </c>
      <c r="B21" s="35">
        <v>1.1000000000000001</v>
      </c>
      <c r="C21" s="36">
        <v>3</v>
      </c>
      <c r="D21" s="31">
        <f>(C21/2)^2*3.1415*3.2*(B21/12)*7.48/2</f>
        <v>7.7544786000000032</v>
      </c>
      <c r="E21" s="32">
        <f t="shared" ref="E21:G30" si="3">D21*10/82</f>
        <v>0.94566812195121985</v>
      </c>
      <c r="F21" s="60">
        <f t="shared" si="1"/>
        <v>19.628523956250007</v>
      </c>
      <c r="G21" s="32">
        <f t="shared" si="3"/>
        <v>2.393722433689025</v>
      </c>
      <c r="H21" s="60">
        <f t="shared" si="2"/>
        <v>20.944015861607145</v>
      </c>
      <c r="I21" s="34">
        <f t="shared" ref="I21:I30" si="4">H21*14/82</f>
        <v>3.5758075861280494</v>
      </c>
      <c r="J21" s="43"/>
      <c r="K21" s="57" t="s">
        <v>44</v>
      </c>
      <c r="L21" s="57" t="s">
        <v>42</v>
      </c>
      <c r="M21" s="57" t="s">
        <v>43</v>
      </c>
      <c r="N21" s="59" t="s">
        <v>45</v>
      </c>
      <c r="O21" s="43"/>
    </row>
    <row r="22" spans="1:15" s="16" customFormat="1" ht="15.75" customHeight="1" x14ac:dyDescent="0.3">
      <c r="A22" s="28" t="s">
        <v>6</v>
      </c>
      <c r="B22" s="35">
        <v>1.4</v>
      </c>
      <c r="C22" s="36">
        <v>4</v>
      </c>
      <c r="D22" s="31">
        <f>(C22/2)^2*3.1415*3.2*(B22/12)*7.48/2</f>
        <v>17.545486933333336</v>
      </c>
      <c r="E22" s="32">
        <f t="shared" si="3"/>
        <v>2.1396935284552847</v>
      </c>
      <c r="F22" s="60">
        <f t="shared" si="1"/>
        <v>26.866526866666668</v>
      </c>
      <c r="G22" s="32">
        <f t="shared" si="3"/>
        <v>3.2764057154471549</v>
      </c>
      <c r="H22" s="60">
        <f t="shared" si="2"/>
        <v>28.296014083333336</v>
      </c>
      <c r="I22" s="34">
        <f t="shared" si="4"/>
        <v>4.8310267947154477</v>
      </c>
      <c r="J22" s="43"/>
      <c r="K22" s="57">
        <v>5</v>
      </c>
      <c r="L22" s="58">
        <f t="shared" ref="L22:L27" si="5">(K22/2)^2*3.1415</f>
        <v>19.634375000000002</v>
      </c>
      <c r="M22" s="57">
        <f t="shared" ref="M22:M27" si="6">K22-4</f>
        <v>1</v>
      </c>
      <c r="N22" s="58">
        <f t="shared" ref="N22:N27" si="7">(1.25*M22/2)^2*3.1413</f>
        <v>1.2270703125</v>
      </c>
      <c r="O22" s="43"/>
    </row>
    <row r="23" spans="1:15" s="16" customFormat="1" ht="15.75" customHeight="1" x14ac:dyDescent="0.3">
      <c r="A23" s="28" t="s">
        <v>7</v>
      </c>
      <c r="B23" s="35">
        <v>1.8</v>
      </c>
      <c r="C23" s="36">
        <v>5</v>
      </c>
      <c r="D23" s="31">
        <f>4*C23*3.2*(B23/12)*7.48/2</f>
        <v>35.904000000000003</v>
      </c>
      <c r="E23" s="32">
        <f t="shared" si="3"/>
        <v>4.378536585365854</v>
      </c>
      <c r="F23" s="60">
        <f t="shared" si="1"/>
        <v>37.054071037500009</v>
      </c>
      <c r="G23" s="32">
        <f t="shared" si="3"/>
        <v>4.5187891509146354</v>
      </c>
      <c r="H23" s="60">
        <f t="shared" si="2"/>
        <v>38.552095312500001</v>
      </c>
      <c r="I23" s="34">
        <f t="shared" si="4"/>
        <v>6.5820650533536584</v>
      </c>
      <c r="J23" s="43"/>
      <c r="K23" s="57">
        <v>6</v>
      </c>
      <c r="L23" s="58">
        <f t="shared" si="5"/>
        <v>28.273500000000002</v>
      </c>
      <c r="M23" s="57">
        <f t="shared" si="6"/>
        <v>2</v>
      </c>
      <c r="N23" s="58">
        <f t="shared" si="7"/>
        <v>4.9082812499999999</v>
      </c>
      <c r="O23" s="43"/>
    </row>
    <row r="24" spans="1:15" s="16" customFormat="1" ht="15.75" customHeight="1" x14ac:dyDescent="0.3">
      <c r="A24" s="28" t="s">
        <v>8</v>
      </c>
      <c r="B24" s="35">
        <v>1.8</v>
      </c>
      <c r="C24" s="36">
        <v>6</v>
      </c>
      <c r="D24" s="31">
        <f t="shared" ref="D24:D30" si="8">4*C24*3.2*(B24/12)*7.48/2</f>
        <v>43.084800000000008</v>
      </c>
      <c r="E24" s="32">
        <f t="shared" si="3"/>
        <v>5.2542439024390255</v>
      </c>
      <c r="F24" s="60">
        <f t="shared" si="1"/>
        <v>39.653583750000003</v>
      </c>
      <c r="G24" s="32">
        <f t="shared" si="3"/>
        <v>4.8358028963414634</v>
      </c>
      <c r="H24" s="60">
        <f t="shared" si="2"/>
        <v>40.786543285714288</v>
      </c>
      <c r="I24" s="34">
        <f t="shared" si="4"/>
        <v>6.9635561707317075</v>
      </c>
      <c r="J24" s="43"/>
      <c r="K24" s="57">
        <v>7</v>
      </c>
      <c r="L24" s="58">
        <f t="shared" si="5"/>
        <v>38.483375000000002</v>
      </c>
      <c r="M24" s="57">
        <f t="shared" si="6"/>
        <v>3</v>
      </c>
      <c r="N24" s="58">
        <f t="shared" si="7"/>
        <v>11.0436328125</v>
      </c>
      <c r="O24" s="43"/>
    </row>
    <row r="25" spans="1:15" s="16" customFormat="1" ht="15.75" customHeight="1" x14ac:dyDescent="0.3">
      <c r="A25" s="28" t="s">
        <v>9</v>
      </c>
      <c r="B25" s="35">
        <v>1.3</v>
      </c>
      <c r="C25" s="36">
        <v>6</v>
      </c>
      <c r="D25" s="31">
        <f t="shared" si="8"/>
        <v>31.116800000000008</v>
      </c>
      <c r="E25" s="32">
        <f t="shared" si="3"/>
        <v>3.7947317073170739</v>
      </c>
      <c r="F25" s="60">
        <f t="shared" si="1"/>
        <v>28.638699375000005</v>
      </c>
      <c r="G25" s="32">
        <f t="shared" si="3"/>
        <v>3.4925243140243909</v>
      </c>
      <c r="H25" s="60">
        <f t="shared" si="2"/>
        <v>29.456947928571431</v>
      </c>
      <c r="I25" s="34">
        <f t="shared" si="4"/>
        <v>5.0292350121951221</v>
      </c>
      <c r="J25" s="43"/>
      <c r="K25" s="57">
        <v>8</v>
      </c>
      <c r="L25" s="58">
        <f t="shared" si="5"/>
        <v>50.264000000000003</v>
      </c>
      <c r="M25" s="57">
        <f t="shared" si="6"/>
        <v>4</v>
      </c>
      <c r="N25" s="58">
        <f t="shared" si="7"/>
        <v>19.633125</v>
      </c>
      <c r="O25" s="43"/>
    </row>
    <row r="26" spans="1:15" s="16" customFormat="1" ht="15.75" customHeight="1" x14ac:dyDescent="0.3">
      <c r="A26" s="28" t="s">
        <v>10</v>
      </c>
      <c r="B26" s="35">
        <v>1.6</v>
      </c>
      <c r="C26" s="36">
        <v>7</v>
      </c>
      <c r="D26" s="31">
        <f t="shared" si="8"/>
        <v>44.680533333333337</v>
      </c>
      <c r="E26" s="32">
        <f t="shared" si="3"/>
        <v>5.4488455284552844</v>
      </c>
      <c r="F26" s="60">
        <f t="shared" si="1"/>
        <v>37.636636033333346</v>
      </c>
      <c r="G26" s="32">
        <f t="shared" si="3"/>
        <v>4.5898336626016274</v>
      </c>
      <c r="H26" s="60">
        <f t="shared" si="2"/>
        <v>38.296829738095241</v>
      </c>
      <c r="I26" s="34">
        <f t="shared" si="4"/>
        <v>6.5384831260162599</v>
      </c>
      <c r="J26" s="43"/>
      <c r="K26" s="57">
        <v>9</v>
      </c>
      <c r="L26" s="58">
        <f t="shared" si="5"/>
        <v>63.615375</v>
      </c>
      <c r="M26" s="57">
        <f t="shared" si="6"/>
        <v>5</v>
      </c>
      <c r="N26" s="58">
        <f t="shared" si="7"/>
        <v>30.676757812500004</v>
      </c>
      <c r="O26" s="43"/>
    </row>
    <row r="27" spans="1:15" s="16" customFormat="1" ht="15.75" customHeight="1" x14ac:dyDescent="0.3">
      <c r="A27" s="28" t="s">
        <v>11</v>
      </c>
      <c r="B27" s="35">
        <v>1.7</v>
      </c>
      <c r="C27" s="36">
        <v>8</v>
      </c>
      <c r="D27" s="31">
        <f t="shared" si="8"/>
        <v>54.254933333333341</v>
      </c>
      <c r="E27" s="32">
        <f t="shared" si="3"/>
        <v>6.6164552845528464</v>
      </c>
      <c r="F27" s="60">
        <f t="shared" si="1"/>
        <v>42.610468266666672</v>
      </c>
      <c r="G27" s="32">
        <f t="shared" si="3"/>
        <v>5.1963985691056918</v>
      </c>
      <c r="H27" s="60">
        <f t="shared" si="2"/>
        <v>42.919584386904759</v>
      </c>
      <c r="I27" s="34">
        <f t="shared" si="4"/>
        <v>7.3277339197154463</v>
      </c>
      <c r="J27" s="43"/>
      <c r="K27" s="57">
        <v>10</v>
      </c>
      <c r="L27" s="58">
        <f t="shared" si="5"/>
        <v>78.537500000000009</v>
      </c>
      <c r="M27" s="57">
        <f t="shared" si="6"/>
        <v>6</v>
      </c>
      <c r="N27" s="58">
        <f t="shared" si="7"/>
        <v>44.174531250000001</v>
      </c>
      <c r="O27" s="43"/>
    </row>
    <row r="28" spans="1:15" s="16" customFormat="1" ht="15.75" customHeight="1" x14ac:dyDescent="0.3">
      <c r="A28" s="28" t="s">
        <v>12</v>
      </c>
      <c r="B28" s="35">
        <v>1.9</v>
      </c>
      <c r="C28" s="36">
        <v>9</v>
      </c>
      <c r="D28" s="31">
        <f t="shared" si="8"/>
        <v>68.217600000000004</v>
      </c>
      <c r="E28" s="32">
        <f t="shared" si="3"/>
        <v>8.3192195121951222</v>
      </c>
      <c r="F28" s="60">
        <f t="shared" si="1"/>
        <v>50.646438356250009</v>
      </c>
      <c r="G28" s="32">
        <f t="shared" si="3"/>
        <v>6.1763949214939036</v>
      </c>
      <c r="H28" s="60">
        <f t="shared" si="2"/>
        <v>50.526848183035725</v>
      </c>
      <c r="I28" s="34">
        <f t="shared" si="4"/>
        <v>8.6265350556402449</v>
      </c>
      <c r="J28" s="43"/>
      <c r="K28" s="43"/>
      <c r="L28" s="43"/>
      <c r="M28" s="43"/>
      <c r="N28" s="57"/>
      <c r="O28" s="43"/>
    </row>
    <row r="29" spans="1:15" s="16" customFormat="1" ht="14.25" customHeight="1" x14ac:dyDescent="0.3">
      <c r="A29" s="28" t="s">
        <v>13</v>
      </c>
      <c r="B29" s="35">
        <v>2.4</v>
      </c>
      <c r="C29" s="36">
        <v>9</v>
      </c>
      <c r="D29" s="31">
        <f t="shared" si="8"/>
        <v>86.169600000000003</v>
      </c>
      <c r="E29" s="32">
        <f t="shared" si="3"/>
        <v>10.508487804878049</v>
      </c>
      <c r="F29" s="60">
        <f t="shared" si="1"/>
        <v>63.974448449999997</v>
      </c>
      <c r="G29" s="32">
        <f t="shared" si="3"/>
        <v>7.8017620060975608</v>
      </c>
      <c r="H29" s="60">
        <f t="shared" si="2"/>
        <v>63.82338717857143</v>
      </c>
      <c r="I29" s="34">
        <f t="shared" si="4"/>
        <v>10.896675859756098</v>
      </c>
      <c r="J29" s="43"/>
      <c r="K29" s="43"/>
      <c r="L29" s="43"/>
      <c r="M29" s="43"/>
      <c r="N29" s="43"/>
      <c r="O29" s="43"/>
    </row>
    <row r="30" spans="1:15" ht="14.25" customHeight="1" thickBot="1" x14ac:dyDescent="0.35">
      <c r="A30" s="28" t="s">
        <v>14</v>
      </c>
      <c r="B30" s="37">
        <v>2.2000000000000002</v>
      </c>
      <c r="C30" s="38">
        <v>10</v>
      </c>
      <c r="D30" s="39">
        <f t="shared" si="8"/>
        <v>87.765333333333345</v>
      </c>
      <c r="E30" s="63">
        <f t="shared" si="3"/>
        <v>10.703089430894311</v>
      </c>
      <c r="F30" s="64">
        <f t="shared" si="1"/>
        <v>62.251230983333343</v>
      </c>
      <c r="G30" s="63">
        <f t="shared" si="3"/>
        <v>7.591613534552847</v>
      </c>
      <c r="H30" s="64">
        <f t="shared" si="2"/>
        <v>61.543480952380968</v>
      </c>
      <c r="I30" s="65">
        <f t="shared" si="4"/>
        <v>10.507423577235775</v>
      </c>
      <c r="N30" s="61"/>
    </row>
    <row r="31" spans="1:15" ht="15" customHeight="1" x14ac:dyDescent="0.25">
      <c r="A31" s="20" t="s">
        <v>41</v>
      </c>
      <c r="B31" s="21"/>
      <c r="C31" s="16"/>
      <c r="D31" s="16"/>
      <c r="E31" s="16"/>
      <c r="F31" s="16"/>
      <c r="G31" s="16"/>
      <c r="H31" s="16"/>
      <c r="I31" s="16"/>
    </row>
    <row r="32" spans="1:15" ht="15" customHeight="1" x14ac:dyDescent="0.25">
      <c r="A32" s="16" t="s">
        <v>38</v>
      </c>
      <c r="B32" s="16"/>
      <c r="C32" s="16"/>
      <c r="D32" s="16"/>
      <c r="E32" s="16"/>
      <c r="F32" s="16"/>
      <c r="G32" s="16"/>
      <c r="H32" s="16"/>
    </row>
    <row r="33" spans="1:15" ht="15" customHeight="1" x14ac:dyDescent="0.25">
      <c r="A33" s="16" t="s">
        <v>40</v>
      </c>
      <c r="B33" s="16"/>
      <c r="C33" s="16"/>
      <c r="D33" s="16"/>
      <c r="E33" s="16"/>
      <c r="F33" s="16"/>
      <c r="G33" s="16"/>
      <c r="H33" s="16"/>
    </row>
    <row r="34" spans="1:15" x14ac:dyDescent="0.25">
      <c r="A34" s="16"/>
      <c r="B34" s="16"/>
      <c r="C34" s="16"/>
      <c r="D34" s="16"/>
      <c r="E34" s="16"/>
      <c r="F34" s="16"/>
      <c r="G34" s="16"/>
      <c r="H34" s="16"/>
    </row>
    <row r="35" spans="1:15" ht="15.75" customHeight="1" x14ac:dyDescent="0.25">
      <c r="J35" s="51"/>
    </row>
    <row r="36" spans="1:15" s="16" customFormat="1" ht="30" customHeight="1" x14ac:dyDescent="0.25">
      <c r="A36" s="5"/>
      <c r="B36" s="5"/>
      <c r="C36" s="5"/>
      <c r="D36" s="5"/>
      <c r="E36" s="5"/>
      <c r="F36" s="5"/>
      <c r="G36" s="5"/>
      <c r="H36" s="5"/>
      <c r="I36" s="5"/>
      <c r="J36" s="43"/>
      <c r="K36" s="52"/>
      <c r="L36" s="43"/>
      <c r="M36" s="43"/>
      <c r="N36" s="43"/>
      <c r="O36" s="43"/>
    </row>
  </sheetData>
  <mergeCells count="1">
    <mergeCell ref="J16:O16"/>
  </mergeCells>
  <phoneticPr fontId="7" type="noConversion"/>
  <pageMargins left="0.75" right="0.75" top="1" bottom="1" header="0.5" footer="0.5"/>
  <pageSetup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B5AAE-26EA-4FE0-A44E-3BCCFAABFF54}">
  <dimension ref="A3:O36"/>
  <sheetViews>
    <sheetView showGridLines="0" tabSelected="1" topLeftCell="A16" workbookViewId="0">
      <selection activeCell="J23" sqref="J23"/>
    </sheetView>
  </sheetViews>
  <sheetFormatPr defaultColWidth="9.1796875" defaultRowHeight="12.5" x14ac:dyDescent="0.25"/>
  <cols>
    <col min="1" max="1" width="16.1796875" style="6" customWidth="1"/>
    <col min="2" max="9" width="9.7265625" style="6" customWidth="1"/>
    <col min="10" max="10" width="16.7265625" style="43" customWidth="1"/>
    <col min="11" max="14" width="13.26953125" style="43" customWidth="1"/>
    <col min="15" max="15" width="11.54296875" style="43" customWidth="1"/>
    <col min="16" max="16" width="11.54296875" style="6" customWidth="1"/>
    <col min="17" max="16384" width="9.1796875" style="6"/>
  </cols>
  <sheetData>
    <row r="3" spans="2:15" ht="13" thickBot="1" x14ac:dyDescent="0.3"/>
    <row r="4" spans="2:15" s="7" customFormat="1" ht="66" customHeight="1" x14ac:dyDescent="0.3">
      <c r="J4" s="44" t="s">
        <v>0</v>
      </c>
      <c r="K4" s="44" t="s">
        <v>1</v>
      </c>
      <c r="L4" s="44" t="s">
        <v>32</v>
      </c>
      <c r="M4" s="44" t="s">
        <v>31</v>
      </c>
      <c r="N4" s="44" t="s">
        <v>15</v>
      </c>
      <c r="O4" s="44" t="s">
        <v>33</v>
      </c>
    </row>
    <row r="5" spans="2:15" ht="15" customHeight="1" x14ac:dyDescent="0.3">
      <c r="B5" s="9"/>
      <c r="C5" s="9"/>
      <c r="D5" s="9"/>
      <c r="E5" s="9"/>
      <c r="F5" s="9"/>
      <c r="G5" s="9"/>
      <c r="H5" s="9"/>
      <c r="J5" s="45" t="s">
        <v>4</v>
      </c>
      <c r="K5" s="46">
        <v>1.2</v>
      </c>
      <c r="L5" s="46">
        <v>0.5</v>
      </c>
      <c r="M5" s="46">
        <v>0.7</v>
      </c>
      <c r="N5" s="46">
        <v>2</v>
      </c>
      <c r="O5" s="47">
        <f t="shared" ref="O5:O15" si="0">N5^2*3.1415/4*3.2*M5/12*7.48</f>
        <v>4.3863717333333341</v>
      </c>
    </row>
    <row r="6" spans="2:15" ht="15" customHeight="1" x14ac:dyDescent="0.3">
      <c r="B6" s="9"/>
      <c r="C6" s="9"/>
      <c r="D6" s="9"/>
      <c r="E6" s="9"/>
      <c r="F6" s="9"/>
      <c r="G6" s="9"/>
      <c r="H6" s="9"/>
      <c r="J6" s="45" t="s">
        <v>5</v>
      </c>
      <c r="K6" s="46">
        <v>1.9</v>
      </c>
      <c r="L6" s="46">
        <v>0.8</v>
      </c>
      <c r="M6" s="46">
        <v>1.1000000000000001</v>
      </c>
      <c r="N6" s="46">
        <v>3</v>
      </c>
      <c r="O6" s="47">
        <f t="shared" si="0"/>
        <v>15.508957200000003</v>
      </c>
    </row>
    <row r="7" spans="2:15" ht="15" customHeight="1" x14ac:dyDescent="0.3">
      <c r="B7" s="9"/>
      <c r="C7" s="9"/>
      <c r="D7" s="9"/>
      <c r="E7" s="9"/>
      <c r="F7" s="9"/>
      <c r="G7" s="9"/>
      <c r="H7" s="9"/>
      <c r="J7" s="45" t="s">
        <v>6</v>
      </c>
      <c r="K7" s="46">
        <v>2.5</v>
      </c>
      <c r="L7" s="46">
        <v>1.1000000000000001</v>
      </c>
      <c r="M7" s="46">
        <v>1.4</v>
      </c>
      <c r="N7" s="46">
        <v>4</v>
      </c>
      <c r="O7" s="47">
        <f t="shared" si="0"/>
        <v>35.090973866666673</v>
      </c>
    </row>
    <row r="8" spans="2:15" ht="15" customHeight="1" x14ac:dyDescent="0.3">
      <c r="B8" s="9"/>
      <c r="C8" s="9"/>
      <c r="D8" s="9"/>
      <c r="E8" s="9"/>
      <c r="F8" s="9"/>
      <c r="G8" s="9"/>
      <c r="H8" s="9"/>
      <c r="J8" s="45" t="s">
        <v>7</v>
      </c>
      <c r="K8" s="46">
        <v>3.2</v>
      </c>
      <c r="L8" s="46">
        <v>1.4</v>
      </c>
      <c r="M8" s="46">
        <v>1.8</v>
      </c>
      <c r="N8" s="46">
        <v>5</v>
      </c>
      <c r="O8" s="47">
        <f t="shared" si="0"/>
        <v>70.495260000000016</v>
      </c>
    </row>
    <row r="9" spans="2:15" ht="15" customHeight="1" x14ac:dyDescent="0.3">
      <c r="B9" s="9"/>
      <c r="C9" s="9"/>
      <c r="D9" s="9"/>
      <c r="E9" s="9"/>
      <c r="F9" s="9"/>
      <c r="G9" s="9"/>
      <c r="H9" s="9"/>
      <c r="J9" s="45" t="s">
        <v>8</v>
      </c>
      <c r="K9" s="46">
        <v>3.6</v>
      </c>
      <c r="L9" s="46">
        <v>1.8</v>
      </c>
      <c r="M9" s="46">
        <v>1.8</v>
      </c>
      <c r="N9" s="46">
        <v>6</v>
      </c>
      <c r="O9" s="47">
        <f t="shared" si="0"/>
        <v>101.51317440000001</v>
      </c>
    </row>
    <row r="10" spans="2:15" ht="15" customHeight="1" x14ac:dyDescent="0.3">
      <c r="B10" s="9"/>
      <c r="C10" s="9"/>
      <c r="D10" s="9"/>
      <c r="E10" s="9"/>
      <c r="F10" s="9"/>
      <c r="G10" s="9"/>
      <c r="H10" s="9"/>
      <c r="J10" s="45" t="s">
        <v>9</v>
      </c>
      <c r="K10" s="46">
        <v>3.5</v>
      </c>
      <c r="L10" s="46">
        <v>2.2000000000000002</v>
      </c>
      <c r="M10" s="46">
        <v>1.3</v>
      </c>
      <c r="N10" s="46">
        <v>7</v>
      </c>
      <c r="O10" s="47">
        <f t="shared" si="0"/>
        <v>99.789956933333357</v>
      </c>
    </row>
    <row r="11" spans="2:15" ht="15" customHeight="1" x14ac:dyDescent="0.3">
      <c r="B11" s="9"/>
      <c r="C11" s="9"/>
      <c r="D11" s="9"/>
      <c r="E11" s="9"/>
      <c r="F11" s="9"/>
      <c r="G11" s="9"/>
      <c r="H11" s="9"/>
      <c r="J11" s="45" t="s">
        <v>10</v>
      </c>
      <c r="K11" s="46">
        <v>3.4</v>
      </c>
      <c r="L11" s="46">
        <v>1.8</v>
      </c>
      <c r="M11" s="46">
        <v>1.6</v>
      </c>
      <c r="N11" s="46">
        <v>7</v>
      </c>
      <c r="O11" s="47">
        <f t="shared" si="0"/>
        <v>122.81840853333335</v>
      </c>
    </row>
    <row r="12" spans="2:15" ht="15" customHeight="1" x14ac:dyDescent="0.3">
      <c r="B12" s="9"/>
      <c r="C12" s="9"/>
      <c r="D12" s="9"/>
      <c r="E12" s="9"/>
      <c r="F12" s="9"/>
      <c r="G12" s="9"/>
      <c r="H12" s="9"/>
      <c r="J12" s="45" t="s">
        <v>11</v>
      </c>
      <c r="K12" s="46">
        <v>3.8</v>
      </c>
      <c r="L12" s="46">
        <v>2.2000000000000002</v>
      </c>
      <c r="M12" s="46">
        <v>1.7</v>
      </c>
      <c r="N12" s="46">
        <v>8</v>
      </c>
      <c r="O12" s="47">
        <f t="shared" si="0"/>
        <v>170.44187306666672</v>
      </c>
    </row>
    <row r="13" spans="2:15" ht="15" customHeight="1" x14ac:dyDescent="0.3">
      <c r="B13" s="9"/>
      <c r="C13" s="9"/>
      <c r="D13" s="9"/>
      <c r="E13" s="9"/>
      <c r="F13" s="9"/>
      <c r="G13" s="9"/>
      <c r="H13" s="9"/>
      <c r="J13" s="45" t="s">
        <v>12</v>
      </c>
      <c r="K13" s="46">
        <v>4.3</v>
      </c>
      <c r="L13" s="46">
        <v>2.4</v>
      </c>
      <c r="M13" s="46">
        <v>1.9</v>
      </c>
      <c r="N13" s="46">
        <v>9</v>
      </c>
      <c r="O13" s="47">
        <f t="shared" si="0"/>
        <v>241.09378920000003</v>
      </c>
    </row>
    <row r="14" spans="2:15" ht="15" customHeight="1" x14ac:dyDescent="0.3">
      <c r="B14" s="9"/>
      <c r="C14" s="9"/>
      <c r="D14" s="9"/>
      <c r="E14" s="9"/>
      <c r="F14" s="9"/>
      <c r="G14" s="9"/>
      <c r="H14" s="9"/>
      <c r="J14" s="45" t="s">
        <v>13</v>
      </c>
      <c r="K14" s="46">
        <v>4.8</v>
      </c>
      <c r="L14" s="46">
        <v>2.4</v>
      </c>
      <c r="M14" s="46">
        <v>2.4</v>
      </c>
      <c r="N14" s="46">
        <v>9</v>
      </c>
      <c r="O14" s="47">
        <f t="shared" si="0"/>
        <v>304.53952320000008</v>
      </c>
    </row>
    <row r="15" spans="2:15" ht="15" customHeight="1" thickBot="1" x14ac:dyDescent="0.35">
      <c r="B15" s="9"/>
      <c r="C15" s="9"/>
      <c r="D15" s="9"/>
      <c r="E15" s="9"/>
      <c r="F15" s="9"/>
      <c r="G15" s="9"/>
      <c r="H15" s="9"/>
      <c r="J15" s="48" t="s">
        <v>14</v>
      </c>
      <c r="K15" s="49">
        <v>4.8</v>
      </c>
      <c r="L15" s="49">
        <v>2.6</v>
      </c>
      <c r="M15" s="49">
        <v>2.2000000000000002</v>
      </c>
      <c r="N15" s="49">
        <v>10</v>
      </c>
      <c r="O15" s="50">
        <f t="shared" si="0"/>
        <v>344.64349333333342</v>
      </c>
    </row>
    <row r="16" spans="2:15" ht="78.75" customHeight="1" x14ac:dyDescent="0.3">
      <c r="J16" s="165" t="s">
        <v>39</v>
      </c>
      <c r="K16" s="165"/>
      <c r="L16" s="165"/>
      <c r="M16" s="165"/>
      <c r="N16" s="165"/>
      <c r="O16" s="165"/>
    </row>
    <row r="17" spans="1:15" ht="10.75" customHeight="1" x14ac:dyDescent="0.25">
      <c r="J17" s="51"/>
    </row>
    <row r="18" spans="1:15" s="16" customFormat="1" ht="40.75" customHeight="1" thickBot="1" x14ac:dyDescent="0.3">
      <c r="A18" s="5"/>
      <c r="B18" s="5"/>
      <c r="C18" s="5"/>
      <c r="D18" s="5"/>
      <c r="E18" s="5"/>
      <c r="F18" s="5"/>
      <c r="G18" s="5"/>
      <c r="H18" s="5"/>
      <c r="I18" s="5"/>
      <c r="J18" s="43"/>
      <c r="K18" s="52"/>
      <c r="L18" s="43"/>
      <c r="M18" s="43"/>
      <c r="N18" s="43"/>
      <c r="O18" s="43"/>
    </row>
    <row r="19" spans="1:15" s="16" customFormat="1" ht="81" customHeight="1" x14ac:dyDescent="0.3">
      <c r="A19" s="22" t="s">
        <v>0</v>
      </c>
      <c r="B19" s="23" t="s">
        <v>3</v>
      </c>
      <c r="C19" s="23" t="s">
        <v>15</v>
      </c>
      <c r="D19" s="70" t="s">
        <v>126</v>
      </c>
      <c r="E19" s="71" t="s">
        <v>37</v>
      </c>
      <c r="F19" s="56" t="s">
        <v>122</v>
      </c>
      <c r="G19" s="53" t="s">
        <v>37</v>
      </c>
      <c r="H19" s="56" t="s">
        <v>123</v>
      </c>
      <c r="I19" s="54" t="s">
        <v>37</v>
      </c>
      <c r="J19" s="43"/>
      <c r="K19" s="43"/>
      <c r="L19" s="43"/>
      <c r="M19" s="43"/>
      <c r="N19" s="43"/>
      <c r="O19" s="43"/>
    </row>
    <row r="20" spans="1:15" s="16" customFormat="1" ht="15.75" customHeight="1" x14ac:dyDescent="0.3">
      <c r="A20" s="28" t="s">
        <v>4</v>
      </c>
      <c r="B20" s="29">
        <v>0.7</v>
      </c>
      <c r="C20" s="30">
        <v>2</v>
      </c>
      <c r="D20" s="159">
        <f>(C20/2)^2*3.1415*3.2*(B20/12)*7.48/2</f>
        <v>2.193185866666667</v>
      </c>
      <c r="E20" s="62">
        <f>D20*6/60</f>
        <v>0.2193185866666667</v>
      </c>
      <c r="F20" s="162">
        <f t="shared" ref="F20:F30" si="1">((6+0.25*C20)^2*3.1415*4*(B20/12)*7.48/10)*0.5</f>
        <v>11.582762858333334</v>
      </c>
      <c r="G20" s="62">
        <f>F20*10/60</f>
        <v>1.9304604763888888</v>
      </c>
      <c r="H20" s="162">
        <f t="shared" ref="H20:H30" si="2">((7.5+0.25*C20)^2*3.1415*4*(B20/12)*7.48/14)*0.5</f>
        <v>12.532490666666666</v>
      </c>
      <c r="I20" s="62">
        <f>H20*14/60</f>
        <v>2.9242478222222221</v>
      </c>
      <c r="J20" s="43"/>
      <c r="K20" s="43"/>
      <c r="L20" s="43"/>
      <c r="M20" s="43"/>
      <c r="N20" s="43"/>
      <c r="O20" s="43"/>
    </row>
    <row r="21" spans="1:15" s="16" customFormat="1" ht="15.75" customHeight="1" x14ac:dyDescent="0.3">
      <c r="A21" s="28" t="s">
        <v>5</v>
      </c>
      <c r="B21" s="35">
        <v>1.1000000000000001</v>
      </c>
      <c r="C21" s="36">
        <v>3</v>
      </c>
      <c r="D21" s="160">
        <f>(C21/2)^2*3.1415*3.2*(B21/12)*7.48/2</f>
        <v>7.7544786000000032</v>
      </c>
      <c r="E21" s="32">
        <f t="shared" ref="E21:E30" si="3">D21*6/60</f>
        <v>0.77544786000000032</v>
      </c>
      <c r="F21" s="163">
        <f t="shared" si="1"/>
        <v>19.628523956250007</v>
      </c>
      <c r="G21" s="32">
        <f t="shared" ref="G21:G30" si="4">F21*10/60</f>
        <v>3.2714206593750013</v>
      </c>
      <c r="H21" s="163">
        <f t="shared" si="2"/>
        <v>20.944015861607145</v>
      </c>
      <c r="I21" s="32">
        <f t="shared" ref="I21:I30" si="5">H21*14/60</f>
        <v>4.8869370343750003</v>
      </c>
      <c r="J21" s="43"/>
      <c r="K21" s="57" t="s">
        <v>44</v>
      </c>
      <c r="L21" s="57" t="s">
        <v>42</v>
      </c>
      <c r="M21" s="57" t="s">
        <v>43</v>
      </c>
      <c r="N21" s="59" t="s">
        <v>45</v>
      </c>
      <c r="O21" s="43"/>
    </row>
    <row r="22" spans="1:15" s="16" customFormat="1" ht="15.75" customHeight="1" x14ac:dyDescent="0.3">
      <c r="A22" s="28" t="s">
        <v>6</v>
      </c>
      <c r="B22" s="35">
        <v>1.4</v>
      </c>
      <c r="C22" s="36">
        <v>4</v>
      </c>
      <c r="D22" s="160">
        <f>(C22/2)^2*3.1415*3.2*(B22/12)*7.48/2</f>
        <v>17.545486933333336</v>
      </c>
      <c r="E22" s="32">
        <f t="shared" si="3"/>
        <v>1.7545486933333336</v>
      </c>
      <c r="F22" s="163">
        <f t="shared" si="1"/>
        <v>26.866526866666668</v>
      </c>
      <c r="G22" s="32">
        <f t="shared" si="4"/>
        <v>4.4777544777777782</v>
      </c>
      <c r="H22" s="163">
        <f t="shared" si="2"/>
        <v>28.296014083333336</v>
      </c>
      <c r="I22" s="32">
        <f t="shared" si="5"/>
        <v>6.6024032861111115</v>
      </c>
      <c r="J22" s="43"/>
      <c r="K22" s="57">
        <v>5</v>
      </c>
      <c r="L22" s="58">
        <f t="shared" ref="L22:L27" si="6">(K22/2)^2*3.1415</f>
        <v>19.634375000000002</v>
      </c>
      <c r="M22" s="57">
        <f t="shared" ref="M22:M27" si="7">K22-4</f>
        <v>1</v>
      </c>
      <c r="N22" s="58">
        <f t="shared" ref="N22:N27" si="8">(1.25*M22/2)^2*3.1413</f>
        <v>1.2270703125</v>
      </c>
      <c r="O22" s="43"/>
    </row>
    <row r="23" spans="1:15" s="16" customFormat="1" ht="15.75" customHeight="1" x14ac:dyDescent="0.3">
      <c r="A23" s="28" t="s">
        <v>7</v>
      </c>
      <c r="B23" s="35">
        <v>1.8</v>
      </c>
      <c r="C23" s="36">
        <v>5</v>
      </c>
      <c r="D23" s="160">
        <f>4*C23*3.2*(B23/12)*7.48/2</f>
        <v>35.904000000000003</v>
      </c>
      <c r="E23" s="32">
        <f t="shared" si="3"/>
        <v>3.5904000000000007</v>
      </c>
      <c r="F23" s="163">
        <f t="shared" si="1"/>
        <v>37.054071037500009</v>
      </c>
      <c r="G23" s="32">
        <f t="shared" si="4"/>
        <v>6.1756785062500024</v>
      </c>
      <c r="H23" s="163">
        <f t="shared" si="2"/>
        <v>38.552095312500001</v>
      </c>
      <c r="I23" s="32">
        <f t="shared" si="5"/>
        <v>8.9954889062499994</v>
      </c>
      <c r="J23" s="43"/>
      <c r="K23" s="57">
        <v>6</v>
      </c>
      <c r="L23" s="58">
        <f t="shared" si="6"/>
        <v>28.273500000000002</v>
      </c>
      <c r="M23" s="57">
        <f t="shared" si="7"/>
        <v>2</v>
      </c>
      <c r="N23" s="58">
        <f t="shared" si="8"/>
        <v>4.9082812499999999</v>
      </c>
      <c r="O23" s="43"/>
    </row>
    <row r="24" spans="1:15" s="16" customFormat="1" ht="15.75" customHeight="1" x14ac:dyDescent="0.3">
      <c r="A24" s="28" t="s">
        <v>8</v>
      </c>
      <c r="B24" s="35">
        <v>1.8</v>
      </c>
      <c r="C24" s="36">
        <v>6</v>
      </c>
      <c r="D24" s="160">
        <f t="shared" ref="D24:D30" si="9">4*C24*3.2*(B24/12)*7.48/2</f>
        <v>43.084800000000008</v>
      </c>
      <c r="E24" s="32">
        <f t="shared" si="3"/>
        <v>4.3084800000000012</v>
      </c>
      <c r="F24" s="163">
        <f t="shared" si="1"/>
        <v>39.653583750000003</v>
      </c>
      <c r="G24" s="32">
        <f t="shared" si="4"/>
        <v>6.6089306250000002</v>
      </c>
      <c r="H24" s="163">
        <f t="shared" si="2"/>
        <v>40.786543285714288</v>
      </c>
      <c r="I24" s="32">
        <f t="shared" si="5"/>
        <v>9.5168601000000006</v>
      </c>
      <c r="J24" s="43"/>
      <c r="K24" s="57">
        <v>7</v>
      </c>
      <c r="L24" s="58">
        <f t="shared" si="6"/>
        <v>38.483375000000002</v>
      </c>
      <c r="M24" s="57">
        <f t="shared" si="7"/>
        <v>3</v>
      </c>
      <c r="N24" s="58">
        <f t="shared" si="8"/>
        <v>11.0436328125</v>
      </c>
      <c r="O24" s="43"/>
    </row>
    <row r="25" spans="1:15" s="16" customFormat="1" ht="15.75" customHeight="1" x14ac:dyDescent="0.3">
      <c r="A25" s="28" t="s">
        <v>9</v>
      </c>
      <c r="B25" s="35">
        <v>1.3</v>
      </c>
      <c r="C25" s="36">
        <v>6</v>
      </c>
      <c r="D25" s="160">
        <f t="shared" si="9"/>
        <v>31.116800000000008</v>
      </c>
      <c r="E25" s="32">
        <f t="shared" si="3"/>
        <v>3.1116800000000007</v>
      </c>
      <c r="F25" s="163">
        <f t="shared" si="1"/>
        <v>28.638699375000005</v>
      </c>
      <c r="G25" s="32">
        <f t="shared" si="4"/>
        <v>4.7731165625000012</v>
      </c>
      <c r="H25" s="163">
        <f t="shared" si="2"/>
        <v>29.456947928571431</v>
      </c>
      <c r="I25" s="32">
        <f t="shared" si="5"/>
        <v>6.8732878500000005</v>
      </c>
      <c r="J25" s="43"/>
      <c r="K25" s="57">
        <v>8</v>
      </c>
      <c r="L25" s="58">
        <f t="shared" si="6"/>
        <v>50.264000000000003</v>
      </c>
      <c r="M25" s="57">
        <f t="shared" si="7"/>
        <v>4</v>
      </c>
      <c r="N25" s="58">
        <f t="shared" si="8"/>
        <v>19.633125</v>
      </c>
      <c r="O25" s="43"/>
    </row>
    <row r="26" spans="1:15" s="16" customFormat="1" ht="15.75" customHeight="1" x14ac:dyDescent="0.3">
      <c r="A26" s="28" t="s">
        <v>10</v>
      </c>
      <c r="B26" s="35">
        <v>1.6</v>
      </c>
      <c r="C26" s="36">
        <v>7</v>
      </c>
      <c r="D26" s="160">
        <f t="shared" si="9"/>
        <v>44.680533333333337</v>
      </c>
      <c r="E26" s="32">
        <f t="shared" si="3"/>
        <v>4.4680533333333337</v>
      </c>
      <c r="F26" s="163">
        <f t="shared" si="1"/>
        <v>37.636636033333346</v>
      </c>
      <c r="G26" s="32">
        <f t="shared" si="4"/>
        <v>6.2727726722222235</v>
      </c>
      <c r="H26" s="163">
        <f t="shared" si="2"/>
        <v>38.296829738095241</v>
      </c>
      <c r="I26" s="32">
        <f t="shared" si="5"/>
        <v>8.9359269388888887</v>
      </c>
      <c r="J26" s="43"/>
      <c r="K26" s="57">
        <v>9</v>
      </c>
      <c r="L26" s="58">
        <f t="shared" si="6"/>
        <v>63.615375</v>
      </c>
      <c r="M26" s="57">
        <f t="shared" si="7"/>
        <v>5</v>
      </c>
      <c r="N26" s="58">
        <f t="shared" si="8"/>
        <v>30.676757812500004</v>
      </c>
      <c r="O26" s="43"/>
    </row>
    <row r="27" spans="1:15" s="16" customFormat="1" ht="15.75" customHeight="1" x14ac:dyDescent="0.3">
      <c r="A27" s="28" t="s">
        <v>11</v>
      </c>
      <c r="B27" s="35">
        <v>1.7</v>
      </c>
      <c r="C27" s="36">
        <v>8</v>
      </c>
      <c r="D27" s="160">
        <f t="shared" si="9"/>
        <v>54.254933333333341</v>
      </c>
      <c r="E27" s="32">
        <f t="shared" si="3"/>
        <v>5.4254933333333346</v>
      </c>
      <c r="F27" s="163">
        <f t="shared" si="1"/>
        <v>42.610468266666672</v>
      </c>
      <c r="G27" s="32">
        <f t="shared" si="4"/>
        <v>7.1017447111111114</v>
      </c>
      <c r="H27" s="163">
        <f t="shared" si="2"/>
        <v>42.919584386904759</v>
      </c>
      <c r="I27" s="32">
        <f t="shared" si="5"/>
        <v>10.014569690277776</v>
      </c>
      <c r="J27" s="43"/>
      <c r="K27" s="57">
        <v>10</v>
      </c>
      <c r="L27" s="58">
        <f t="shared" si="6"/>
        <v>78.537500000000009</v>
      </c>
      <c r="M27" s="57">
        <f t="shared" si="7"/>
        <v>6</v>
      </c>
      <c r="N27" s="58">
        <f t="shared" si="8"/>
        <v>44.174531250000001</v>
      </c>
      <c r="O27" s="43"/>
    </row>
    <row r="28" spans="1:15" s="16" customFormat="1" ht="15.75" customHeight="1" x14ac:dyDescent="0.3">
      <c r="A28" s="28" t="s">
        <v>12</v>
      </c>
      <c r="B28" s="35">
        <v>1.9</v>
      </c>
      <c r="C28" s="36">
        <v>9</v>
      </c>
      <c r="D28" s="160">
        <f t="shared" si="9"/>
        <v>68.217600000000004</v>
      </c>
      <c r="E28" s="32">
        <f t="shared" si="3"/>
        <v>6.8217600000000003</v>
      </c>
      <c r="F28" s="163">
        <f t="shared" si="1"/>
        <v>50.646438356250009</v>
      </c>
      <c r="G28" s="32">
        <f t="shared" si="4"/>
        <v>8.4410730593750021</v>
      </c>
      <c r="H28" s="163">
        <f t="shared" si="2"/>
        <v>50.526848183035725</v>
      </c>
      <c r="I28" s="32">
        <f t="shared" si="5"/>
        <v>11.789597909375003</v>
      </c>
      <c r="J28" s="43"/>
      <c r="K28" s="43"/>
      <c r="L28" s="43"/>
      <c r="M28" s="43"/>
      <c r="N28" s="57"/>
      <c r="O28" s="43"/>
    </row>
    <row r="29" spans="1:15" s="16" customFormat="1" ht="14.25" customHeight="1" x14ac:dyDescent="0.3">
      <c r="A29" s="28" t="s">
        <v>13</v>
      </c>
      <c r="B29" s="35">
        <v>2.4</v>
      </c>
      <c r="C29" s="36">
        <v>9</v>
      </c>
      <c r="D29" s="160">
        <f t="shared" si="9"/>
        <v>86.169600000000003</v>
      </c>
      <c r="E29" s="32">
        <f t="shared" si="3"/>
        <v>8.6169600000000006</v>
      </c>
      <c r="F29" s="163">
        <f t="shared" si="1"/>
        <v>63.974448449999997</v>
      </c>
      <c r="G29" s="32">
        <f t="shared" si="4"/>
        <v>10.662408075</v>
      </c>
      <c r="H29" s="163">
        <f t="shared" si="2"/>
        <v>63.82338717857143</v>
      </c>
      <c r="I29" s="32">
        <f t="shared" si="5"/>
        <v>14.892123675000001</v>
      </c>
      <c r="J29" s="43"/>
      <c r="K29" s="43"/>
      <c r="L29" s="43"/>
      <c r="M29" s="43"/>
      <c r="N29" s="43"/>
      <c r="O29" s="43"/>
    </row>
    <row r="30" spans="1:15" ht="14.25" customHeight="1" x14ac:dyDescent="0.3">
      <c r="A30" s="28" t="s">
        <v>14</v>
      </c>
      <c r="B30" s="37">
        <v>2.2000000000000002</v>
      </c>
      <c r="C30" s="38">
        <v>10</v>
      </c>
      <c r="D30" s="161">
        <f t="shared" si="9"/>
        <v>87.765333333333345</v>
      </c>
      <c r="E30" s="63">
        <f t="shared" si="3"/>
        <v>8.7765333333333349</v>
      </c>
      <c r="F30" s="164">
        <f t="shared" si="1"/>
        <v>62.251230983333343</v>
      </c>
      <c r="G30" s="63">
        <f t="shared" si="4"/>
        <v>10.375205163888891</v>
      </c>
      <c r="H30" s="164">
        <f t="shared" si="2"/>
        <v>61.543480952380968</v>
      </c>
      <c r="I30" s="63">
        <f t="shared" si="5"/>
        <v>14.36014555555556</v>
      </c>
      <c r="N30" s="61"/>
    </row>
    <row r="31" spans="1:15" ht="15" customHeight="1" x14ac:dyDescent="0.25">
      <c r="A31" s="20" t="s">
        <v>127</v>
      </c>
      <c r="B31" s="21"/>
      <c r="C31" s="16"/>
      <c r="D31" s="16"/>
      <c r="E31" s="16"/>
      <c r="F31" s="16"/>
      <c r="G31" s="16"/>
      <c r="H31" s="16"/>
      <c r="I31" s="16"/>
    </row>
    <row r="32" spans="1:15" ht="15" customHeight="1" x14ac:dyDescent="0.25">
      <c r="A32" s="16" t="s">
        <v>125</v>
      </c>
      <c r="B32" s="16"/>
      <c r="C32" s="16"/>
      <c r="D32" s="16"/>
      <c r="E32" s="16"/>
      <c r="F32" s="16"/>
      <c r="G32" s="16"/>
      <c r="H32" s="16"/>
    </row>
    <row r="33" spans="1:15" ht="15" customHeight="1" x14ac:dyDescent="0.25">
      <c r="A33" s="16" t="s">
        <v>40</v>
      </c>
      <c r="B33" s="16"/>
      <c r="C33" s="16"/>
      <c r="D33" s="16"/>
      <c r="E33" s="16"/>
      <c r="F33" s="16"/>
      <c r="G33" s="16"/>
      <c r="H33" s="16"/>
    </row>
    <row r="34" spans="1:15" x14ac:dyDescent="0.25">
      <c r="A34" s="16"/>
      <c r="B34" s="16"/>
      <c r="C34" s="16"/>
      <c r="D34" s="16"/>
      <c r="E34" s="16"/>
      <c r="F34" s="16"/>
      <c r="G34" s="16"/>
      <c r="H34" s="16"/>
    </row>
    <row r="35" spans="1:15" ht="15.75" customHeight="1" x14ac:dyDescent="0.25">
      <c r="J35" s="51"/>
    </row>
    <row r="36" spans="1:15" s="16" customFormat="1" ht="30" customHeight="1" x14ac:dyDescent="0.25">
      <c r="A36" s="5"/>
      <c r="B36" s="5"/>
      <c r="C36" s="5"/>
      <c r="D36" s="5"/>
      <c r="E36" s="5"/>
      <c r="F36" s="5"/>
      <c r="G36" s="5"/>
      <c r="H36" s="5"/>
      <c r="I36" s="5"/>
      <c r="J36" s="43"/>
      <c r="K36" s="52"/>
      <c r="L36" s="43"/>
      <c r="M36" s="43"/>
      <c r="N36" s="43"/>
      <c r="O36" s="43"/>
    </row>
  </sheetData>
  <mergeCells count="1">
    <mergeCell ref="J16:O16"/>
  </mergeCells>
  <pageMargins left="0.75" right="0.75" top="1" bottom="1" header="0.5" footer="0.5"/>
  <pageSetup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D2003-F10F-417B-9DD5-BEA0F91C00E9}">
  <dimension ref="A3:AI55"/>
  <sheetViews>
    <sheetView showGridLines="0" topLeftCell="A15" workbookViewId="0">
      <selection activeCell="F23" sqref="F23"/>
    </sheetView>
  </sheetViews>
  <sheetFormatPr defaultColWidth="9.1796875" defaultRowHeight="12.5" x14ac:dyDescent="0.25"/>
  <cols>
    <col min="1" max="1" width="16.1796875" style="6" customWidth="1"/>
    <col min="2" max="9" width="9.7265625" style="6" customWidth="1"/>
    <col min="10" max="10" width="16.7265625" style="43" customWidth="1"/>
    <col min="11" max="14" width="13.26953125" style="43" customWidth="1"/>
    <col min="15" max="15" width="11.54296875" style="43" customWidth="1"/>
    <col min="16" max="35" width="3" style="6" customWidth="1"/>
    <col min="36" max="16384" width="9.1796875" style="6"/>
  </cols>
  <sheetData>
    <row r="3" spans="2:15" ht="13" thickBot="1" x14ac:dyDescent="0.3"/>
    <row r="4" spans="2:15" s="7" customFormat="1" ht="66" customHeight="1" x14ac:dyDescent="0.3">
      <c r="J4" s="44" t="s">
        <v>0</v>
      </c>
      <c r="K4" s="44" t="s">
        <v>1</v>
      </c>
      <c r="L4" s="44" t="s">
        <v>32</v>
      </c>
      <c r="M4" s="44" t="s">
        <v>31</v>
      </c>
      <c r="N4" s="44" t="s">
        <v>15</v>
      </c>
      <c r="O4" s="44" t="s">
        <v>33</v>
      </c>
    </row>
    <row r="5" spans="2:15" ht="15" customHeight="1" x14ac:dyDescent="0.3">
      <c r="B5" s="9"/>
      <c r="C5" s="9"/>
      <c r="D5" s="9"/>
      <c r="E5" s="9"/>
      <c r="F5" s="9"/>
      <c r="G5" s="9"/>
      <c r="H5" s="9"/>
      <c r="J5" s="45" t="s">
        <v>4</v>
      </c>
      <c r="K5" s="46">
        <v>1.2</v>
      </c>
      <c r="L5" s="46">
        <v>0.5</v>
      </c>
      <c r="M5" s="46">
        <v>0.7</v>
      </c>
      <c r="N5" s="46">
        <v>2</v>
      </c>
      <c r="O5" s="47">
        <f t="shared" ref="O5:O15" si="0">N5^2*3.1415/4*3.2*M5/12*7.48</f>
        <v>4.3863717333333341</v>
      </c>
    </row>
    <row r="6" spans="2:15" ht="15" customHeight="1" x14ac:dyDescent="0.3">
      <c r="B6" s="9"/>
      <c r="C6" s="9"/>
      <c r="D6" s="9"/>
      <c r="E6" s="9"/>
      <c r="F6" s="9"/>
      <c r="G6" s="9"/>
      <c r="H6" s="9"/>
      <c r="J6" s="45" t="s">
        <v>5</v>
      </c>
      <c r="K6" s="46">
        <v>1.9</v>
      </c>
      <c r="L6" s="46">
        <v>0.8</v>
      </c>
      <c r="M6" s="46">
        <v>1.1000000000000001</v>
      </c>
      <c r="N6" s="46">
        <v>3</v>
      </c>
      <c r="O6" s="47">
        <f t="shared" si="0"/>
        <v>15.508957200000003</v>
      </c>
    </row>
    <row r="7" spans="2:15" ht="15" customHeight="1" x14ac:dyDescent="0.3">
      <c r="B7" s="9"/>
      <c r="C7" s="9"/>
      <c r="D7" s="9"/>
      <c r="E7" s="9"/>
      <c r="F7" s="9"/>
      <c r="G7" s="9"/>
      <c r="H7" s="9"/>
      <c r="J7" s="45" t="s">
        <v>6</v>
      </c>
      <c r="K7" s="46">
        <v>2.5</v>
      </c>
      <c r="L7" s="46">
        <v>1.1000000000000001</v>
      </c>
      <c r="M7" s="46">
        <v>1.4</v>
      </c>
      <c r="N7" s="46">
        <v>4</v>
      </c>
      <c r="O7" s="47">
        <f t="shared" si="0"/>
        <v>35.090973866666673</v>
      </c>
    </row>
    <row r="8" spans="2:15" ht="15" customHeight="1" x14ac:dyDescent="0.3">
      <c r="B8" s="9"/>
      <c r="C8" s="9"/>
      <c r="D8" s="9"/>
      <c r="E8" s="9"/>
      <c r="F8" s="9"/>
      <c r="G8" s="9"/>
      <c r="H8" s="9"/>
      <c r="J8" s="45" t="s">
        <v>7</v>
      </c>
      <c r="K8" s="46">
        <v>3.2</v>
      </c>
      <c r="L8" s="46">
        <v>1.4</v>
      </c>
      <c r="M8" s="46">
        <v>1.8</v>
      </c>
      <c r="N8" s="46">
        <v>5</v>
      </c>
      <c r="O8" s="47">
        <f t="shared" si="0"/>
        <v>70.495260000000016</v>
      </c>
    </row>
    <row r="9" spans="2:15" ht="15" customHeight="1" x14ac:dyDescent="0.3">
      <c r="B9" s="9"/>
      <c r="C9" s="9"/>
      <c r="D9" s="9"/>
      <c r="E9" s="9"/>
      <c r="F9" s="9"/>
      <c r="G9" s="9"/>
      <c r="H9" s="9"/>
      <c r="J9" s="45" t="s">
        <v>8</v>
      </c>
      <c r="K9" s="46">
        <v>3.6</v>
      </c>
      <c r="L9" s="46">
        <v>1.8</v>
      </c>
      <c r="M9" s="46">
        <v>1.8</v>
      </c>
      <c r="N9" s="46">
        <v>6</v>
      </c>
      <c r="O9" s="47">
        <f t="shared" si="0"/>
        <v>101.51317440000001</v>
      </c>
    </row>
    <row r="10" spans="2:15" ht="15" customHeight="1" x14ac:dyDescent="0.3">
      <c r="B10" s="9"/>
      <c r="C10" s="9"/>
      <c r="D10" s="9"/>
      <c r="E10" s="9"/>
      <c r="F10" s="9"/>
      <c r="G10" s="9"/>
      <c r="H10" s="9"/>
      <c r="J10" s="45" t="s">
        <v>9</v>
      </c>
      <c r="K10" s="46">
        <v>3.5</v>
      </c>
      <c r="L10" s="46">
        <v>2.2000000000000002</v>
      </c>
      <c r="M10" s="46">
        <v>1.3</v>
      </c>
      <c r="N10" s="46">
        <v>7</v>
      </c>
      <c r="O10" s="47">
        <f t="shared" si="0"/>
        <v>99.789956933333357</v>
      </c>
    </row>
    <row r="11" spans="2:15" ht="15" customHeight="1" x14ac:dyDescent="0.3">
      <c r="B11" s="9"/>
      <c r="C11" s="9"/>
      <c r="D11" s="9"/>
      <c r="E11" s="9"/>
      <c r="F11" s="9"/>
      <c r="G11" s="9"/>
      <c r="H11" s="9"/>
      <c r="J11" s="45" t="s">
        <v>10</v>
      </c>
      <c r="K11" s="46">
        <v>3.4</v>
      </c>
      <c r="L11" s="46">
        <v>1.8</v>
      </c>
      <c r="M11" s="46">
        <v>1.6</v>
      </c>
      <c r="N11" s="46">
        <v>7</v>
      </c>
      <c r="O11" s="47">
        <f t="shared" si="0"/>
        <v>122.81840853333335</v>
      </c>
    </row>
    <row r="12" spans="2:15" ht="15" customHeight="1" x14ac:dyDescent="0.3">
      <c r="B12" s="9"/>
      <c r="C12" s="9"/>
      <c r="D12" s="9"/>
      <c r="E12" s="9"/>
      <c r="F12" s="9"/>
      <c r="G12" s="9"/>
      <c r="H12" s="9"/>
      <c r="J12" s="45" t="s">
        <v>11</v>
      </c>
      <c r="K12" s="46">
        <v>3.8</v>
      </c>
      <c r="L12" s="46">
        <v>2.2000000000000002</v>
      </c>
      <c r="M12" s="46">
        <v>1.7</v>
      </c>
      <c r="N12" s="46">
        <v>8</v>
      </c>
      <c r="O12" s="47">
        <f t="shared" si="0"/>
        <v>170.44187306666672</v>
      </c>
    </row>
    <row r="13" spans="2:15" ht="15" customHeight="1" x14ac:dyDescent="0.3">
      <c r="B13" s="9"/>
      <c r="C13" s="9"/>
      <c r="D13" s="9"/>
      <c r="E13" s="9"/>
      <c r="F13" s="9"/>
      <c r="G13" s="9"/>
      <c r="H13" s="9"/>
      <c r="J13" s="45" t="s">
        <v>12</v>
      </c>
      <c r="K13" s="46">
        <v>4.3</v>
      </c>
      <c r="L13" s="46">
        <v>2.4</v>
      </c>
      <c r="M13" s="46">
        <v>1.9</v>
      </c>
      <c r="N13" s="46">
        <v>9</v>
      </c>
      <c r="O13" s="47">
        <f t="shared" si="0"/>
        <v>241.09378920000003</v>
      </c>
    </row>
    <row r="14" spans="2:15" ht="15" customHeight="1" x14ac:dyDescent="0.3">
      <c r="B14" s="9"/>
      <c r="C14" s="9"/>
      <c r="D14" s="9"/>
      <c r="E14" s="9"/>
      <c r="F14" s="9"/>
      <c r="G14" s="9"/>
      <c r="H14" s="9"/>
      <c r="J14" s="45" t="s">
        <v>13</v>
      </c>
      <c r="K14" s="46">
        <v>4.8</v>
      </c>
      <c r="L14" s="46">
        <v>2.4</v>
      </c>
      <c r="M14" s="46">
        <v>2.4</v>
      </c>
      <c r="N14" s="46">
        <v>9</v>
      </c>
      <c r="O14" s="47">
        <f t="shared" si="0"/>
        <v>304.53952320000008</v>
      </c>
    </row>
    <row r="15" spans="2:15" ht="15" customHeight="1" thickBot="1" x14ac:dyDescent="0.35">
      <c r="B15" s="9"/>
      <c r="C15" s="9"/>
      <c r="D15" s="9"/>
      <c r="E15" s="9"/>
      <c r="F15" s="9"/>
      <c r="G15" s="9"/>
      <c r="H15" s="9"/>
      <c r="J15" s="48" t="s">
        <v>14</v>
      </c>
      <c r="K15" s="49">
        <v>4.8</v>
      </c>
      <c r="L15" s="49">
        <v>2.6</v>
      </c>
      <c r="M15" s="49">
        <v>2.2000000000000002</v>
      </c>
      <c r="N15" s="49">
        <v>10</v>
      </c>
      <c r="O15" s="50">
        <f t="shared" si="0"/>
        <v>344.64349333333342</v>
      </c>
    </row>
    <row r="16" spans="2:15" ht="78.75" customHeight="1" x14ac:dyDescent="0.25">
      <c r="J16" s="165" t="s">
        <v>47</v>
      </c>
      <c r="K16" s="165"/>
      <c r="L16" s="165"/>
      <c r="M16" s="165"/>
      <c r="N16" s="165"/>
      <c r="O16" s="165"/>
    </row>
    <row r="17" spans="1:35" ht="9.75" customHeight="1" x14ac:dyDescent="0.25">
      <c r="J17" s="51"/>
    </row>
    <row r="18" spans="1:35" s="16" customFormat="1" ht="30" customHeight="1" thickBot="1" x14ac:dyDescent="0.3">
      <c r="A18" s="5"/>
      <c r="B18" s="5"/>
      <c r="C18" s="5"/>
      <c r="D18" s="5"/>
      <c r="E18" s="5"/>
      <c r="F18" s="5"/>
      <c r="G18" s="5"/>
      <c r="H18" s="5"/>
      <c r="I18" s="5"/>
      <c r="J18" s="43"/>
      <c r="K18" s="52">
        <f>((C23/2)^2*3.1415-(1.25*(C23-4)/2)^2*3.1415)</f>
        <v>18.407226562500004</v>
      </c>
      <c r="L18" s="43">
        <f>(C23/2)^2*3.1415</f>
        <v>19.634375000000002</v>
      </c>
      <c r="M18" s="43"/>
      <c r="N18" s="43"/>
      <c r="O18" s="43"/>
    </row>
    <row r="19" spans="1:35" s="16" customFormat="1" ht="81" customHeight="1" x14ac:dyDescent="0.3">
      <c r="A19" s="22" t="s">
        <v>0</v>
      </c>
      <c r="B19" s="23" t="s">
        <v>3</v>
      </c>
      <c r="C19" s="23" t="s">
        <v>15</v>
      </c>
      <c r="D19" s="70" t="s">
        <v>121</v>
      </c>
      <c r="E19" s="71" t="s">
        <v>91</v>
      </c>
      <c r="F19" s="56" t="s">
        <v>122</v>
      </c>
      <c r="G19" s="53" t="s">
        <v>91</v>
      </c>
      <c r="H19" s="56" t="s">
        <v>123</v>
      </c>
      <c r="I19" s="54" t="s">
        <v>91</v>
      </c>
      <c r="J19" s="43"/>
      <c r="K19" s="43"/>
      <c r="L19" s="43"/>
      <c r="M19" s="43"/>
      <c r="N19" s="43"/>
      <c r="O19" s="43"/>
    </row>
    <row r="20" spans="1:35" s="16" customFormat="1" ht="15.75" customHeight="1" x14ac:dyDescent="0.3">
      <c r="A20" s="28" t="s">
        <v>4</v>
      </c>
      <c r="B20" s="29">
        <v>0.7</v>
      </c>
      <c r="C20" s="30">
        <v>2</v>
      </c>
      <c r="D20" s="31">
        <f>(C20/2)^2*3.1415*3.2*(B20/12)*7.48/2</f>
        <v>2.193185866666667</v>
      </c>
      <c r="E20" s="72">
        <f>D20*10/74</f>
        <v>0.29637646846846855</v>
      </c>
      <c r="F20" s="60">
        <f t="shared" ref="F20:F30" si="1">((6+0.25*C20)^2*3.1415*4*(B20/12)*7.48/10)*0.5</f>
        <v>11.582762858333334</v>
      </c>
      <c r="G20" s="72">
        <f>F20*10/74</f>
        <v>1.5652382240990992</v>
      </c>
      <c r="H20" s="60">
        <f t="shared" ref="H20:H30" si="2">((7.5+0.25*C20)^2*3.1415*4*(B20/12)*7.48/14)*0.5</f>
        <v>12.532490666666666</v>
      </c>
      <c r="I20" s="72">
        <f>H20*14/74</f>
        <v>2.3710117477477479</v>
      </c>
      <c r="J20" s="43"/>
      <c r="K20" s="43"/>
      <c r="L20" s="43"/>
      <c r="M20" s="43"/>
      <c r="N20" s="43"/>
      <c r="O20" s="43"/>
      <c r="P20" s="67"/>
      <c r="Q20" s="67"/>
      <c r="R20" s="67"/>
      <c r="S20" s="68"/>
      <c r="T20" s="67"/>
      <c r="U20" s="67"/>
      <c r="V20" s="67"/>
      <c r="W20" s="68"/>
      <c r="X20" s="67"/>
      <c r="Y20" s="67"/>
      <c r="Z20" s="67"/>
      <c r="AA20" s="68"/>
      <c r="AB20" s="67"/>
      <c r="AC20" s="67"/>
      <c r="AD20" s="67"/>
      <c r="AE20" s="68"/>
      <c r="AF20" s="67"/>
      <c r="AG20" s="67"/>
      <c r="AH20" s="67"/>
      <c r="AI20" s="68"/>
    </row>
    <row r="21" spans="1:35" s="16" customFormat="1" ht="15.75" customHeight="1" x14ac:dyDescent="0.3">
      <c r="A21" s="28" t="s">
        <v>5</v>
      </c>
      <c r="B21" s="35">
        <v>1.1000000000000001</v>
      </c>
      <c r="C21" s="36">
        <v>3</v>
      </c>
      <c r="D21" s="31">
        <f>(C21/2)^2*3.1415*3.2*(B21/12)*7.48/2</f>
        <v>7.7544786000000032</v>
      </c>
      <c r="E21" s="73">
        <f t="shared" ref="E21:G30" si="3">D21*10/74</f>
        <v>1.0479025135135138</v>
      </c>
      <c r="F21" s="60">
        <f t="shared" si="1"/>
        <v>19.628523956250007</v>
      </c>
      <c r="G21" s="73">
        <f t="shared" si="3"/>
        <v>2.6525032373310822</v>
      </c>
      <c r="H21" s="60">
        <f t="shared" si="2"/>
        <v>20.944015861607145</v>
      </c>
      <c r="I21" s="73">
        <f t="shared" ref="I21:I30" si="4">H21*14/74</f>
        <v>3.9623813792229736</v>
      </c>
      <c r="J21" s="43"/>
      <c r="K21" s="57" t="s">
        <v>44</v>
      </c>
      <c r="L21" s="57" t="s">
        <v>42</v>
      </c>
      <c r="M21" s="57" t="s">
        <v>43</v>
      </c>
      <c r="N21" s="59" t="s">
        <v>45</v>
      </c>
      <c r="O21" s="43"/>
      <c r="P21" s="67"/>
      <c r="Q21" s="67"/>
      <c r="R21" s="67"/>
      <c r="S21" s="68"/>
      <c r="T21" s="67"/>
      <c r="U21" s="67"/>
      <c r="V21" s="67"/>
      <c r="W21" s="68"/>
      <c r="X21" s="67"/>
      <c r="Y21" s="67"/>
      <c r="Z21" s="67"/>
      <c r="AA21" s="68"/>
      <c r="AB21" s="67"/>
      <c r="AC21" s="67"/>
      <c r="AD21" s="67"/>
      <c r="AE21" s="68"/>
      <c r="AF21" s="67"/>
      <c r="AG21" s="67"/>
      <c r="AH21" s="67"/>
      <c r="AI21" s="68"/>
    </row>
    <row r="22" spans="1:35" s="16" customFormat="1" ht="15.75" customHeight="1" x14ac:dyDescent="0.3">
      <c r="A22" s="28" t="s">
        <v>6</v>
      </c>
      <c r="B22" s="35">
        <v>1.4</v>
      </c>
      <c r="C22" s="36">
        <v>4</v>
      </c>
      <c r="D22" s="31">
        <f>(C22/2)^2*3.1415*3.2*(B22/12)*7.48/2</f>
        <v>17.545486933333336</v>
      </c>
      <c r="E22" s="73">
        <f t="shared" si="3"/>
        <v>2.3710117477477484</v>
      </c>
      <c r="F22" s="60">
        <f t="shared" si="1"/>
        <v>26.866526866666668</v>
      </c>
      <c r="G22" s="73">
        <f t="shared" si="3"/>
        <v>3.6306117387387391</v>
      </c>
      <c r="H22" s="60">
        <f t="shared" si="2"/>
        <v>28.296014083333336</v>
      </c>
      <c r="I22" s="73">
        <f t="shared" si="4"/>
        <v>5.3532999617117119</v>
      </c>
      <c r="J22" s="43"/>
      <c r="K22" s="57">
        <v>5</v>
      </c>
      <c r="L22" s="58">
        <f t="shared" ref="L22:L27" si="5">(K22/2)^2*3.1415</f>
        <v>19.634375000000002</v>
      </c>
      <c r="M22" s="57">
        <f t="shared" ref="M22:M27" si="6">K22-4</f>
        <v>1</v>
      </c>
      <c r="N22" s="58">
        <f t="shared" ref="N22:N27" si="7">(1.25*M22/2)^2*3.1413</f>
        <v>1.2270703125</v>
      </c>
      <c r="O22" s="43"/>
      <c r="P22" s="67"/>
      <c r="Q22" s="67"/>
      <c r="R22" s="67"/>
      <c r="S22" s="68"/>
      <c r="T22" s="67"/>
      <c r="U22" s="67"/>
      <c r="V22" s="67"/>
      <c r="W22" s="68"/>
      <c r="X22" s="67"/>
      <c r="Y22" s="67"/>
      <c r="Z22" s="67"/>
      <c r="AA22" s="68"/>
      <c r="AB22" s="67"/>
      <c r="AC22" s="67"/>
      <c r="AD22" s="67"/>
      <c r="AE22" s="68"/>
      <c r="AF22" s="67"/>
      <c r="AG22" s="67"/>
      <c r="AH22" s="67"/>
      <c r="AI22" s="68"/>
    </row>
    <row r="23" spans="1:35" s="16" customFormat="1" ht="15.75" customHeight="1" x14ac:dyDescent="0.3">
      <c r="A23" s="28" t="s">
        <v>7</v>
      </c>
      <c r="B23" s="35">
        <v>1.8</v>
      </c>
      <c r="C23" s="36">
        <v>5</v>
      </c>
      <c r="D23" s="31">
        <f>4*C23*3.2*(B23/12)*7.48/2</f>
        <v>35.904000000000003</v>
      </c>
      <c r="E23" s="73">
        <f t="shared" si="3"/>
        <v>4.8518918918918921</v>
      </c>
      <c r="F23" s="60">
        <f t="shared" si="1"/>
        <v>37.054071037500009</v>
      </c>
      <c r="G23" s="73">
        <f t="shared" si="3"/>
        <v>5.0073068969594612</v>
      </c>
      <c r="H23" s="60">
        <f t="shared" si="2"/>
        <v>38.552095312500001</v>
      </c>
      <c r="I23" s="73">
        <f t="shared" si="4"/>
        <v>7.293639653716216</v>
      </c>
      <c r="J23" s="43"/>
      <c r="K23" s="57">
        <v>6</v>
      </c>
      <c r="L23" s="58">
        <f t="shared" si="5"/>
        <v>28.273500000000002</v>
      </c>
      <c r="M23" s="57">
        <f t="shared" si="6"/>
        <v>2</v>
      </c>
      <c r="N23" s="58">
        <f t="shared" si="7"/>
        <v>4.9082812499999999</v>
      </c>
      <c r="O23" s="43"/>
      <c r="P23" s="67"/>
      <c r="Q23" s="67"/>
      <c r="R23" s="67"/>
      <c r="S23" s="68"/>
      <c r="T23" s="67"/>
      <c r="U23" s="67"/>
      <c r="V23" s="67"/>
      <c r="W23" s="68"/>
      <c r="X23" s="67"/>
      <c r="Y23" s="67"/>
      <c r="Z23" s="67"/>
      <c r="AA23" s="68"/>
      <c r="AB23" s="67"/>
      <c r="AC23" s="67"/>
      <c r="AD23" s="67"/>
      <c r="AE23" s="68"/>
      <c r="AF23" s="67"/>
      <c r="AG23" s="67"/>
      <c r="AH23" s="67"/>
      <c r="AI23" s="68"/>
    </row>
    <row r="24" spans="1:35" s="16" customFormat="1" ht="15.75" customHeight="1" x14ac:dyDescent="0.3">
      <c r="A24" s="28" t="s">
        <v>8</v>
      </c>
      <c r="B24" s="35">
        <v>1.8</v>
      </c>
      <c r="C24" s="36">
        <v>6</v>
      </c>
      <c r="D24" s="31">
        <f t="shared" ref="D24:D30" si="8">4*C24*3.2*(B24/12)*7.48/2</f>
        <v>43.084800000000008</v>
      </c>
      <c r="E24" s="73">
        <f t="shared" si="3"/>
        <v>5.8222702702702716</v>
      </c>
      <c r="F24" s="60">
        <f t="shared" si="1"/>
        <v>39.653583750000003</v>
      </c>
      <c r="G24" s="73">
        <f t="shared" si="3"/>
        <v>5.358592398648649</v>
      </c>
      <c r="H24" s="60">
        <f t="shared" si="2"/>
        <v>40.786543285714288</v>
      </c>
      <c r="I24" s="73">
        <f t="shared" si="4"/>
        <v>7.7163730540540545</v>
      </c>
      <c r="J24" s="43"/>
      <c r="K24" s="57">
        <v>7</v>
      </c>
      <c r="L24" s="58">
        <f t="shared" si="5"/>
        <v>38.483375000000002</v>
      </c>
      <c r="M24" s="57">
        <f t="shared" si="6"/>
        <v>3</v>
      </c>
      <c r="N24" s="58">
        <f t="shared" si="7"/>
        <v>11.0436328125</v>
      </c>
      <c r="O24" s="43"/>
      <c r="P24" s="67"/>
      <c r="Q24" s="67"/>
      <c r="R24" s="67"/>
      <c r="S24" s="68"/>
      <c r="T24" s="67"/>
      <c r="U24" s="67"/>
      <c r="V24" s="67"/>
      <c r="W24" s="68"/>
      <c r="X24" s="67"/>
      <c r="Y24" s="67"/>
      <c r="Z24" s="67"/>
      <c r="AA24" s="68"/>
      <c r="AB24" s="67"/>
      <c r="AC24" s="67"/>
      <c r="AD24" s="67"/>
      <c r="AE24" s="68"/>
      <c r="AF24" s="67"/>
      <c r="AG24" s="67"/>
      <c r="AH24" s="67"/>
      <c r="AI24" s="68"/>
    </row>
    <row r="25" spans="1:35" s="16" customFormat="1" ht="15.75" customHeight="1" x14ac:dyDescent="0.3">
      <c r="A25" s="28" t="s">
        <v>9</v>
      </c>
      <c r="B25" s="35">
        <v>1.3</v>
      </c>
      <c r="C25" s="36">
        <v>6</v>
      </c>
      <c r="D25" s="31">
        <f t="shared" si="8"/>
        <v>31.116800000000008</v>
      </c>
      <c r="E25" s="73">
        <f t="shared" si="3"/>
        <v>4.2049729729729739</v>
      </c>
      <c r="F25" s="60">
        <f t="shared" si="1"/>
        <v>28.638699375000005</v>
      </c>
      <c r="G25" s="73">
        <f t="shared" si="3"/>
        <v>3.8700945101351358</v>
      </c>
      <c r="H25" s="60">
        <f t="shared" si="2"/>
        <v>29.456947928571431</v>
      </c>
      <c r="I25" s="73">
        <f t="shared" si="4"/>
        <v>5.5729360945945956</v>
      </c>
      <c r="J25" s="43"/>
      <c r="K25" s="57">
        <v>8</v>
      </c>
      <c r="L25" s="58">
        <f t="shared" si="5"/>
        <v>50.264000000000003</v>
      </c>
      <c r="M25" s="57">
        <f t="shared" si="6"/>
        <v>4</v>
      </c>
      <c r="N25" s="58">
        <f t="shared" si="7"/>
        <v>19.633125</v>
      </c>
      <c r="O25" s="43"/>
      <c r="P25" s="67"/>
      <c r="Q25" s="67"/>
      <c r="R25" s="67"/>
      <c r="S25" s="68"/>
      <c r="T25" s="67"/>
      <c r="U25" s="67"/>
      <c r="V25" s="67"/>
      <c r="W25" s="68"/>
      <c r="X25" s="67"/>
      <c r="Y25" s="67"/>
      <c r="Z25" s="67"/>
      <c r="AA25" s="68"/>
      <c r="AB25" s="67"/>
      <c r="AC25" s="67"/>
      <c r="AD25" s="67"/>
      <c r="AE25" s="68"/>
      <c r="AF25" s="67"/>
      <c r="AG25" s="67"/>
      <c r="AH25" s="67"/>
      <c r="AI25" s="68"/>
    </row>
    <row r="26" spans="1:35" s="16" customFormat="1" ht="15.75" customHeight="1" x14ac:dyDescent="0.3">
      <c r="A26" s="28" t="s">
        <v>10</v>
      </c>
      <c r="B26" s="35">
        <v>1.6</v>
      </c>
      <c r="C26" s="36">
        <v>7</v>
      </c>
      <c r="D26" s="31">
        <f t="shared" si="8"/>
        <v>44.680533333333337</v>
      </c>
      <c r="E26" s="73">
        <f t="shared" si="3"/>
        <v>6.0379099099099101</v>
      </c>
      <c r="F26" s="60">
        <f t="shared" si="1"/>
        <v>37.636636033333346</v>
      </c>
      <c r="G26" s="73">
        <f t="shared" si="3"/>
        <v>5.0860318963963973</v>
      </c>
      <c r="H26" s="60">
        <f t="shared" si="2"/>
        <v>38.296829738095241</v>
      </c>
      <c r="I26" s="73">
        <f t="shared" si="4"/>
        <v>7.2453461666666668</v>
      </c>
      <c r="J26" s="43"/>
      <c r="K26" s="57">
        <v>9</v>
      </c>
      <c r="L26" s="58">
        <f t="shared" si="5"/>
        <v>63.615375</v>
      </c>
      <c r="M26" s="57">
        <f t="shared" si="6"/>
        <v>5</v>
      </c>
      <c r="N26" s="58">
        <f t="shared" si="7"/>
        <v>30.676757812500004</v>
      </c>
      <c r="O26" s="43"/>
      <c r="P26" s="67"/>
      <c r="Q26" s="67"/>
      <c r="R26" s="67"/>
      <c r="S26" s="68"/>
      <c r="T26" s="67"/>
      <c r="U26" s="67"/>
      <c r="V26" s="67"/>
      <c r="W26" s="68"/>
      <c r="X26" s="67"/>
      <c r="Y26" s="67"/>
      <c r="Z26" s="67"/>
      <c r="AA26" s="68"/>
      <c r="AB26" s="67"/>
      <c r="AC26" s="67"/>
      <c r="AD26" s="67"/>
      <c r="AE26" s="68"/>
      <c r="AF26" s="67"/>
      <c r="AG26" s="67"/>
      <c r="AH26" s="67"/>
      <c r="AI26" s="68"/>
    </row>
    <row r="27" spans="1:35" s="16" customFormat="1" ht="15.75" customHeight="1" x14ac:dyDescent="0.3">
      <c r="A27" s="28" t="s">
        <v>11</v>
      </c>
      <c r="B27" s="35">
        <v>1.7</v>
      </c>
      <c r="C27" s="36">
        <v>8</v>
      </c>
      <c r="D27" s="31">
        <f t="shared" si="8"/>
        <v>54.254933333333341</v>
      </c>
      <c r="E27" s="73">
        <f t="shared" si="3"/>
        <v>7.3317477477477482</v>
      </c>
      <c r="F27" s="60">
        <f t="shared" si="1"/>
        <v>42.610468266666672</v>
      </c>
      <c r="G27" s="73">
        <f t="shared" si="3"/>
        <v>5.7581713873873879</v>
      </c>
      <c r="H27" s="60">
        <f t="shared" si="2"/>
        <v>42.919584386904759</v>
      </c>
      <c r="I27" s="73">
        <f t="shared" si="4"/>
        <v>8.1199213704954953</v>
      </c>
      <c r="J27" s="43"/>
      <c r="K27" s="57">
        <v>10</v>
      </c>
      <c r="L27" s="58">
        <f t="shared" si="5"/>
        <v>78.537500000000009</v>
      </c>
      <c r="M27" s="57">
        <f t="shared" si="6"/>
        <v>6</v>
      </c>
      <c r="N27" s="58">
        <f t="shared" si="7"/>
        <v>44.174531250000001</v>
      </c>
      <c r="O27" s="43"/>
      <c r="P27" s="67"/>
      <c r="Q27" s="67"/>
      <c r="R27" s="67"/>
      <c r="S27" s="68"/>
      <c r="T27" s="67"/>
      <c r="U27" s="67"/>
      <c r="V27" s="67"/>
      <c r="W27" s="68"/>
      <c r="X27" s="67"/>
      <c r="Y27" s="67"/>
      <c r="Z27" s="67"/>
      <c r="AA27" s="68"/>
      <c r="AB27" s="67"/>
      <c r="AC27" s="67"/>
      <c r="AD27" s="67"/>
      <c r="AE27" s="68"/>
      <c r="AF27" s="67"/>
      <c r="AG27" s="67"/>
      <c r="AH27" s="67"/>
      <c r="AI27" s="68"/>
    </row>
    <row r="28" spans="1:35" s="16" customFormat="1" ht="15.75" customHeight="1" x14ac:dyDescent="0.3">
      <c r="A28" s="28" t="s">
        <v>12</v>
      </c>
      <c r="B28" s="35">
        <v>1.9</v>
      </c>
      <c r="C28" s="36">
        <v>9</v>
      </c>
      <c r="D28" s="31">
        <f t="shared" si="8"/>
        <v>68.217600000000004</v>
      </c>
      <c r="E28" s="73">
        <f t="shared" si="3"/>
        <v>9.2185945945945953</v>
      </c>
      <c r="F28" s="60">
        <f t="shared" si="1"/>
        <v>50.646438356250009</v>
      </c>
      <c r="G28" s="73">
        <f t="shared" si="3"/>
        <v>6.8441132913851366</v>
      </c>
      <c r="H28" s="60">
        <f t="shared" si="2"/>
        <v>50.526848183035725</v>
      </c>
      <c r="I28" s="73">
        <f t="shared" si="4"/>
        <v>9.5591334400337864</v>
      </c>
      <c r="J28" s="43"/>
      <c r="K28" s="43"/>
      <c r="L28" s="43"/>
      <c r="M28" s="43"/>
      <c r="N28" s="57"/>
      <c r="O28" s="43"/>
      <c r="P28" s="67"/>
      <c r="Q28" s="67"/>
      <c r="R28" s="67"/>
      <c r="S28" s="68"/>
      <c r="T28" s="67"/>
      <c r="U28" s="67"/>
      <c r="V28" s="67"/>
      <c r="W28" s="68"/>
      <c r="X28" s="67"/>
      <c r="Y28" s="67"/>
      <c r="Z28" s="67"/>
      <c r="AA28" s="68"/>
      <c r="AB28" s="67"/>
      <c r="AC28" s="67"/>
      <c r="AD28" s="67"/>
      <c r="AE28" s="68"/>
      <c r="AF28" s="67"/>
      <c r="AG28" s="67"/>
      <c r="AH28" s="67"/>
      <c r="AI28" s="68"/>
    </row>
    <row r="29" spans="1:35" s="16" customFormat="1" ht="15.75" customHeight="1" x14ac:dyDescent="0.3">
      <c r="A29" s="28" t="s">
        <v>13</v>
      </c>
      <c r="B29" s="35">
        <v>2.4</v>
      </c>
      <c r="C29" s="36">
        <v>9</v>
      </c>
      <c r="D29" s="31">
        <f t="shared" si="8"/>
        <v>86.169600000000003</v>
      </c>
      <c r="E29" s="73">
        <f t="shared" si="3"/>
        <v>11.644540540540541</v>
      </c>
      <c r="F29" s="60">
        <f t="shared" si="1"/>
        <v>63.974448449999997</v>
      </c>
      <c r="G29" s="73">
        <f t="shared" si="3"/>
        <v>8.6451957364864871</v>
      </c>
      <c r="H29" s="60">
        <f t="shared" si="2"/>
        <v>63.82338717857143</v>
      </c>
      <c r="I29" s="73">
        <f t="shared" si="4"/>
        <v>12.074694871621622</v>
      </c>
      <c r="J29" s="43"/>
      <c r="K29" s="43"/>
      <c r="L29" s="43"/>
      <c r="M29" s="43"/>
      <c r="N29" s="43"/>
      <c r="O29" s="43"/>
      <c r="P29" s="68"/>
      <c r="Q29" s="68"/>
      <c r="R29" s="68"/>
      <c r="S29" s="68"/>
      <c r="T29" s="68"/>
      <c r="U29" s="68"/>
      <c r="V29" s="68"/>
      <c r="W29" s="68"/>
      <c r="X29" s="68"/>
      <c r="Y29" s="68"/>
      <c r="Z29" s="68"/>
      <c r="AA29" s="68"/>
      <c r="AB29" s="68"/>
      <c r="AC29" s="68"/>
      <c r="AD29" s="68"/>
      <c r="AE29" s="68"/>
      <c r="AF29" s="68"/>
      <c r="AG29" s="68"/>
      <c r="AH29" s="68"/>
      <c r="AI29" s="68"/>
    </row>
    <row r="30" spans="1:35" ht="15.75" customHeight="1" thickBot="1" x14ac:dyDescent="0.35">
      <c r="A30" s="28" t="s">
        <v>14</v>
      </c>
      <c r="B30" s="37">
        <v>2.2000000000000002</v>
      </c>
      <c r="C30" s="38">
        <v>10</v>
      </c>
      <c r="D30" s="39">
        <f t="shared" si="8"/>
        <v>87.765333333333345</v>
      </c>
      <c r="E30" s="74">
        <f t="shared" si="3"/>
        <v>11.860180180180182</v>
      </c>
      <c r="F30" s="64">
        <f t="shared" si="1"/>
        <v>62.251230983333343</v>
      </c>
      <c r="G30" s="74">
        <f t="shared" si="3"/>
        <v>8.4123285112612631</v>
      </c>
      <c r="H30" s="64">
        <f t="shared" si="2"/>
        <v>61.543480952380968</v>
      </c>
      <c r="I30" s="74">
        <f t="shared" si="4"/>
        <v>11.643361261261266</v>
      </c>
      <c r="N30" s="61"/>
      <c r="P30" s="66"/>
      <c r="Q30" s="66"/>
      <c r="R30" s="66"/>
      <c r="S30" s="69"/>
      <c r="T30" s="66"/>
      <c r="U30" s="66"/>
      <c r="V30" s="66"/>
      <c r="W30" s="69"/>
      <c r="X30" s="66"/>
      <c r="Y30" s="66"/>
      <c r="Z30" s="66"/>
      <c r="AA30" s="69"/>
      <c r="AB30" s="66"/>
      <c r="AC30" s="66"/>
      <c r="AD30" s="66"/>
      <c r="AE30" s="69"/>
      <c r="AF30" s="66"/>
      <c r="AG30" s="66"/>
      <c r="AH30" s="66"/>
      <c r="AI30" s="69"/>
    </row>
    <row r="31" spans="1:35" ht="15.75" customHeight="1" x14ac:dyDescent="0.25">
      <c r="A31" s="20" t="s">
        <v>41</v>
      </c>
      <c r="B31" s="21"/>
      <c r="C31" s="16"/>
      <c r="D31" s="16"/>
      <c r="E31" s="16"/>
      <c r="F31" s="16"/>
      <c r="G31" s="16"/>
      <c r="H31" s="16"/>
      <c r="I31" s="16"/>
      <c r="P31" s="66"/>
      <c r="Q31" s="66"/>
      <c r="R31" s="66"/>
      <c r="S31" s="69"/>
      <c r="T31" s="66"/>
      <c r="U31" s="66"/>
      <c r="V31" s="66"/>
      <c r="W31" s="69"/>
      <c r="X31" s="66"/>
      <c r="Y31" s="66"/>
      <c r="Z31" s="66"/>
      <c r="AA31" s="69"/>
      <c r="AB31" s="66"/>
      <c r="AC31" s="66"/>
      <c r="AD31" s="66"/>
      <c r="AE31" s="69"/>
      <c r="AF31" s="66"/>
      <c r="AG31" s="66"/>
      <c r="AH31" s="66"/>
      <c r="AI31" s="69"/>
    </row>
    <row r="32" spans="1:35" ht="15.75" customHeight="1" x14ac:dyDescent="0.25">
      <c r="A32" s="16" t="s">
        <v>48</v>
      </c>
      <c r="B32" s="16"/>
      <c r="C32" s="16"/>
      <c r="D32" s="16"/>
      <c r="E32" s="16"/>
      <c r="F32" s="16"/>
      <c r="G32" s="16"/>
      <c r="H32" s="16"/>
      <c r="P32" s="66"/>
      <c r="Q32" s="66"/>
      <c r="R32" s="66"/>
      <c r="S32" s="69"/>
      <c r="T32" s="66"/>
      <c r="U32" s="66"/>
      <c r="V32" s="66"/>
      <c r="W32" s="69"/>
      <c r="X32" s="66"/>
      <c r="Y32" s="66"/>
      <c r="Z32" s="66"/>
      <c r="AA32" s="69"/>
      <c r="AB32" s="66"/>
      <c r="AC32" s="66"/>
      <c r="AD32" s="66"/>
      <c r="AE32" s="69"/>
      <c r="AF32" s="66"/>
      <c r="AG32" s="66"/>
      <c r="AH32" s="66"/>
      <c r="AI32" s="69"/>
    </row>
    <row r="33" spans="1:35" ht="15.75" customHeight="1" x14ac:dyDescent="0.25">
      <c r="A33" s="16" t="s">
        <v>40</v>
      </c>
      <c r="B33" s="16"/>
      <c r="C33" s="16"/>
      <c r="D33" s="16"/>
      <c r="E33" s="16"/>
      <c r="F33" s="16"/>
      <c r="G33" s="16"/>
      <c r="H33" s="16"/>
      <c r="P33" s="66"/>
      <c r="Q33" s="66"/>
      <c r="R33" s="66"/>
      <c r="S33" s="69"/>
      <c r="T33" s="66"/>
      <c r="U33" s="66"/>
      <c r="V33" s="66"/>
      <c r="W33" s="69"/>
      <c r="X33" s="66"/>
      <c r="Y33" s="66"/>
      <c r="Z33" s="66"/>
      <c r="AA33" s="69"/>
      <c r="AB33" s="66"/>
      <c r="AC33" s="66"/>
      <c r="AD33" s="66"/>
      <c r="AE33" s="69"/>
      <c r="AF33" s="66"/>
      <c r="AG33" s="66"/>
      <c r="AH33" s="66"/>
      <c r="AI33" s="69"/>
    </row>
    <row r="34" spans="1:35" ht="15.75" customHeight="1" x14ac:dyDescent="0.25">
      <c r="A34" s="16"/>
      <c r="B34" s="16"/>
      <c r="C34" s="16"/>
      <c r="D34" s="16"/>
      <c r="E34" s="16"/>
      <c r="F34" s="16"/>
      <c r="G34" s="16"/>
      <c r="H34" s="16"/>
      <c r="P34" s="66"/>
      <c r="Q34" s="66"/>
      <c r="R34" s="66"/>
      <c r="S34" s="69"/>
      <c r="T34" s="66"/>
      <c r="U34" s="66"/>
      <c r="V34" s="66"/>
      <c r="W34" s="69"/>
      <c r="X34" s="66"/>
      <c r="Y34" s="66"/>
      <c r="Z34" s="66"/>
      <c r="AA34" s="69"/>
      <c r="AB34" s="66"/>
      <c r="AC34" s="66"/>
      <c r="AD34" s="66"/>
      <c r="AE34" s="69"/>
      <c r="AF34" s="66"/>
      <c r="AG34" s="66"/>
      <c r="AH34" s="66"/>
      <c r="AI34" s="69"/>
    </row>
    <row r="35" spans="1:35" ht="21.75" customHeight="1" x14ac:dyDescent="0.25">
      <c r="C35" s="16"/>
      <c r="D35" s="16"/>
      <c r="E35" s="16"/>
      <c r="F35" s="16"/>
      <c r="J35" s="51"/>
      <c r="P35" s="66"/>
      <c r="Q35" s="66"/>
      <c r="R35" s="66"/>
      <c r="S35" s="69"/>
      <c r="T35" s="66"/>
      <c r="U35" s="66"/>
      <c r="V35" s="66"/>
      <c r="W35" s="69"/>
      <c r="X35" s="66"/>
      <c r="Y35" s="66"/>
      <c r="Z35" s="66"/>
      <c r="AA35" s="69"/>
      <c r="AB35" s="66"/>
      <c r="AC35" s="66"/>
      <c r="AD35" s="66"/>
      <c r="AE35" s="69"/>
      <c r="AF35" s="66"/>
      <c r="AG35" s="66"/>
      <c r="AH35" s="66"/>
      <c r="AI35" s="69"/>
    </row>
    <row r="36" spans="1:35" s="16" customFormat="1" ht="15.75" customHeight="1" x14ac:dyDescent="0.25">
      <c r="A36" s="5"/>
      <c r="B36" s="5"/>
      <c r="G36" s="5"/>
      <c r="H36" s="5"/>
      <c r="I36" s="5"/>
      <c r="J36" s="43"/>
      <c r="K36" s="52"/>
      <c r="L36" s="43"/>
      <c r="M36" s="43"/>
      <c r="N36" s="43"/>
      <c r="O36" s="43"/>
      <c r="P36" s="67"/>
      <c r="Q36" s="67"/>
      <c r="R36" s="67"/>
      <c r="S36" s="68"/>
      <c r="T36" s="67"/>
      <c r="U36" s="67"/>
      <c r="V36" s="67"/>
      <c r="W36" s="68"/>
      <c r="X36" s="67"/>
      <c r="Y36" s="67"/>
      <c r="Z36" s="67"/>
      <c r="AA36" s="68"/>
      <c r="AB36" s="67"/>
      <c r="AC36" s="67"/>
      <c r="AD36" s="67"/>
      <c r="AE36" s="68"/>
      <c r="AF36" s="67"/>
      <c r="AG36" s="67"/>
      <c r="AH36" s="67"/>
      <c r="AI36" s="68"/>
    </row>
    <row r="37" spans="1:35" ht="15.75" customHeight="1" x14ac:dyDescent="0.25">
      <c r="C37" s="16"/>
      <c r="D37" s="16"/>
      <c r="E37" s="16"/>
      <c r="F37" s="16"/>
      <c r="P37" s="66"/>
      <c r="Q37" s="66"/>
      <c r="R37" s="66"/>
      <c r="S37" s="69"/>
      <c r="T37" s="66"/>
      <c r="U37" s="66"/>
      <c r="V37" s="66"/>
      <c r="W37" s="69"/>
      <c r="X37" s="66"/>
      <c r="Y37" s="66"/>
      <c r="Z37" s="66"/>
      <c r="AA37" s="69"/>
      <c r="AB37" s="66"/>
      <c r="AC37" s="66"/>
      <c r="AD37" s="66"/>
      <c r="AE37" s="69"/>
      <c r="AF37" s="66"/>
      <c r="AG37" s="66"/>
      <c r="AH37" s="66"/>
      <c r="AI37" s="69"/>
    </row>
    <row r="38" spans="1:35" ht="14.25" customHeight="1" x14ac:dyDescent="0.25">
      <c r="C38" s="16"/>
      <c r="D38" s="16"/>
      <c r="E38" s="16"/>
      <c r="F38" s="16"/>
      <c r="P38" s="66"/>
      <c r="Q38" s="66"/>
      <c r="R38" s="66"/>
      <c r="S38" s="69"/>
      <c r="T38" s="66"/>
      <c r="U38" s="66"/>
      <c r="V38" s="66"/>
      <c r="W38" s="69"/>
      <c r="X38" s="66"/>
      <c r="Y38" s="66"/>
      <c r="Z38" s="66"/>
      <c r="AA38" s="69"/>
      <c r="AB38" s="66"/>
      <c r="AC38" s="66"/>
      <c r="AD38" s="66"/>
      <c r="AE38" s="69"/>
      <c r="AF38" s="66"/>
      <c r="AG38" s="66"/>
      <c r="AH38" s="66"/>
      <c r="AI38" s="69"/>
    </row>
    <row r="39" spans="1:35" ht="15.75" customHeight="1" x14ac:dyDescent="0.25">
      <c r="C39" s="16"/>
      <c r="D39" s="16"/>
      <c r="E39" s="16"/>
      <c r="F39" s="16"/>
      <c r="P39" s="66"/>
      <c r="Q39" s="66"/>
      <c r="R39" s="66"/>
      <c r="S39" s="69"/>
      <c r="T39" s="66"/>
      <c r="U39" s="66"/>
      <c r="V39" s="66"/>
      <c r="W39" s="69"/>
      <c r="X39" s="66"/>
      <c r="Y39" s="66"/>
      <c r="Z39" s="66"/>
      <c r="AA39" s="69"/>
      <c r="AB39" s="66"/>
      <c r="AC39" s="66"/>
      <c r="AD39" s="66"/>
      <c r="AE39" s="69"/>
      <c r="AF39" s="66"/>
      <c r="AG39" s="66"/>
      <c r="AH39" s="66"/>
      <c r="AI39" s="69"/>
    </row>
    <row r="40" spans="1:35" ht="15.75" customHeight="1" x14ac:dyDescent="0.25">
      <c r="C40" s="16"/>
      <c r="D40" s="16"/>
      <c r="E40" s="16"/>
      <c r="F40" s="16"/>
    </row>
    <row r="41" spans="1:35" x14ac:dyDescent="0.25">
      <c r="C41" s="16"/>
      <c r="D41" s="16"/>
      <c r="E41" s="16"/>
      <c r="F41" s="16"/>
    </row>
    <row r="42" spans="1:35" x14ac:dyDescent="0.25">
      <c r="C42" s="16"/>
      <c r="D42" s="16"/>
      <c r="E42" s="16"/>
      <c r="F42" s="16"/>
    </row>
    <row r="43" spans="1:35" x14ac:dyDescent="0.25">
      <c r="C43" s="16"/>
      <c r="D43" s="16"/>
      <c r="E43" s="16"/>
      <c r="F43" s="16"/>
    </row>
    <row r="44" spans="1:35" x14ac:dyDescent="0.25">
      <c r="C44" s="16"/>
      <c r="D44" s="16"/>
      <c r="E44" s="16"/>
      <c r="F44" s="16"/>
    </row>
    <row r="45" spans="1:35" x14ac:dyDescent="0.25">
      <c r="C45" s="16"/>
      <c r="D45" s="16"/>
      <c r="E45" s="16"/>
      <c r="F45" s="16"/>
    </row>
    <row r="46" spans="1:35" x14ac:dyDescent="0.25">
      <c r="C46" s="16"/>
      <c r="D46" s="16"/>
      <c r="E46" s="16"/>
      <c r="F46" s="16"/>
    </row>
    <row r="47" spans="1:35" x14ac:dyDescent="0.25">
      <c r="C47" s="16"/>
      <c r="D47" s="16"/>
      <c r="E47" s="16"/>
      <c r="F47" s="16"/>
    </row>
    <row r="48" spans="1:35" x14ac:dyDescent="0.25">
      <c r="C48" s="16"/>
      <c r="D48" s="16"/>
      <c r="E48" s="16"/>
      <c r="F48" s="16"/>
    </row>
    <row r="49" spans="3:6" x14ac:dyDescent="0.25">
      <c r="C49" s="16"/>
      <c r="D49" s="16"/>
      <c r="E49" s="16"/>
      <c r="F49" s="16"/>
    </row>
    <row r="50" spans="3:6" x14ac:dyDescent="0.25">
      <c r="C50" s="16"/>
      <c r="D50" s="16"/>
      <c r="E50" s="16"/>
      <c r="F50" s="16"/>
    </row>
    <row r="51" spans="3:6" x14ac:dyDescent="0.25">
      <c r="C51" s="16"/>
      <c r="D51" s="16"/>
      <c r="E51" s="16"/>
      <c r="F51" s="16"/>
    </row>
    <row r="52" spans="3:6" x14ac:dyDescent="0.25">
      <c r="C52" s="16"/>
      <c r="D52" s="16"/>
      <c r="E52" s="16"/>
      <c r="F52" s="16"/>
    </row>
    <row r="53" spans="3:6" x14ac:dyDescent="0.25">
      <c r="C53" s="16"/>
      <c r="D53" s="16"/>
      <c r="E53" s="16"/>
      <c r="F53" s="16"/>
    </row>
    <row r="54" spans="3:6" x14ac:dyDescent="0.25">
      <c r="C54" s="16"/>
      <c r="D54" s="16"/>
      <c r="E54" s="16"/>
      <c r="F54" s="16"/>
    </row>
    <row r="55" spans="3:6" x14ac:dyDescent="0.25">
      <c r="C55" s="16"/>
      <c r="D55" s="16"/>
      <c r="E55" s="16"/>
      <c r="F55" s="16"/>
    </row>
  </sheetData>
  <mergeCells count="1">
    <mergeCell ref="J16:O16"/>
  </mergeCells>
  <phoneticPr fontId="7" type="noConversion"/>
  <pageMargins left="0.75" right="0.75" top="1" bottom="1" header="0.5" footer="0.5"/>
  <pageSetup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15542-AD13-4EAC-85E9-7484D585235B}">
  <dimension ref="A3:AI55"/>
  <sheetViews>
    <sheetView showGridLines="0" topLeftCell="A17" workbookViewId="0">
      <selection activeCell="E27" sqref="E27"/>
    </sheetView>
  </sheetViews>
  <sheetFormatPr defaultColWidth="9.1796875" defaultRowHeight="12.5" x14ac:dyDescent="0.25"/>
  <cols>
    <col min="1" max="1" width="16.1796875" style="6" customWidth="1"/>
    <col min="2" max="9" width="9.7265625" style="6" customWidth="1"/>
    <col min="10" max="10" width="16.7265625" style="43" customWidth="1"/>
    <col min="11" max="14" width="13.26953125" style="43" customWidth="1"/>
    <col min="15" max="15" width="11.54296875" style="43" customWidth="1"/>
    <col min="16" max="35" width="3" style="6" customWidth="1"/>
    <col min="36" max="16384" width="9.1796875" style="6"/>
  </cols>
  <sheetData>
    <row r="3" spans="2:15" ht="13" thickBot="1" x14ac:dyDescent="0.3"/>
    <row r="4" spans="2:15" s="7" customFormat="1" ht="66" customHeight="1" x14ac:dyDescent="0.3">
      <c r="J4" s="44" t="s">
        <v>0</v>
      </c>
      <c r="K4" s="44" t="s">
        <v>1</v>
      </c>
      <c r="L4" s="44" t="s">
        <v>32</v>
      </c>
      <c r="M4" s="44" t="s">
        <v>31</v>
      </c>
      <c r="N4" s="44" t="s">
        <v>15</v>
      </c>
      <c r="O4" s="44" t="s">
        <v>33</v>
      </c>
    </row>
    <row r="5" spans="2:15" ht="15" customHeight="1" x14ac:dyDescent="0.3">
      <c r="B5" s="9"/>
      <c r="C5" s="9"/>
      <c r="D5" s="9"/>
      <c r="E5" s="9"/>
      <c r="F5" s="9"/>
      <c r="G5" s="9"/>
      <c r="H5" s="9"/>
      <c r="J5" s="45" t="s">
        <v>4</v>
      </c>
      <c r="K5" s="46">
        <v>1.2</v>
      </c>
      <c r="L5" s="46">
        <v>0.5</v>
      </c>
      <c r="M5" s="46">
        <v>0.7</v>
      </c>
      <c r="N5" s="46">
        <v>2</v>
      </c>
      <c r="O5" s="47">
        <f t="shared" ref="O5:O15" si="0">N5^2*3.1415/4*3.2*M5/12*7.48</f>
        <v>4.3863717333333341</v>
      </c>
    </row>
    <row r="6" spans="2:15" ht="15" customHeight="1" x14ac:dyDescent="0.3">
      <c r="B6" s="9"/>
      <c r="C6" s="9"/>
      <c r="D6" s="9"/>
      <c r="E6" s="9"/>
      <c r="F6" s="9"/>
      <c r="G6" s="9"/>
      <c r="H6" s="9"/>
      <c r="J6" s="45" t="s">
        <v>5</v>
      </c>
      <c r="K6" s="46">
        <v>1.9</v>
      </c>
      <c r="L6" s="46">
        <v>0.8</v>
      </c>
      <c r="M6" s="46">
        <v>1.1000000000000001</v>
      </c>
      <c r="N6" s="46">
        <v>3</v>
      </c>
      <c r="O6" s="47">
        <f t="shared" si="0"/>
        <v>15.508957200000003</v>
      </c>
    </row>
    <row r="7" spans="2:15" ht="15" customHeight="1" x14ac:dyDescent="0.3">
      <c r="B7" s="9"/>
      <c r="C7" s="9"/>
      <c r="D7" s="9"/>
      <c r="E7" s="9"/>
      <c r="F7" s="9"/>
      <c r="G7" s="9"/>
      <c r="H7" s="9"/>
      <c r="J7" s="45" t="s">
        <v>6</v>
      </c>
      <c r="K7" s="46">
        <v>2.5</v>
      </c>
      <c r="L7" s="46">
        <v>1.1000000000000001</v>
      </c>
      <c r="M7" s="46">
        <v>1.4</v>
      </c>
      <c r="N7" s="46">
        <v>4</v>
      </c>
      <c r="O7" s="47">
        <f t="shared" si="0"/>
        <v>35.090973866666673</v>
      </c>
    </row>
    <row r="8" spans="2:15" ht="15" customHeight="1" x14ac:dyDescent="0.3">
      <c r="B8" s="9"/>
      <c r="C8" s="9"/>
      <c r="D8" s="9"/>
      <c r="E8" s="9"/>
      <c r="F8" s="9"/>
      <c r="G8" s="9"/>
      <c r="H8" s="9"/>
      <c r="J8" s="45" t="s">
        <v>7</v>
      </c>
      <c r="K8" s="46">
        <v>3.2</v>
      </c>
      <c r="L8" s="46">
        <v>1.4</v>
      </c>
      <c r="M8" s="46">
        <v>1.8</v>
      </c>
      <c r="N8" s="46">
        <v>5</v>
      </c>
      <c r="O8" s="47">
        <f t="shared" si="0"/>
        <v>70.495260000000016</v>
      </c>
    </row>
    <row r="9" spans="2:15" ht="15" customHeight="1" x14ac:dyDescent="0.3">
      <c r="B9" s="9"/>
      <c r="C9" s="9"/>
      <c r="D9" s="9"/>
      <c r="E9" s="9"/>
      <c r="F9" s="9"/>
      <c r="G9" s="9"/>
      <c r="H9" s="9"/>
      <c r="J9" s="45" t="s">
        <v>8</v>
      </c>
      <c r="K9" s="46">
        <v>3.6</v>
      </c>
      <c r="L9" s="46">
        <v>1.8</v>
      </c>
      <c r="M9" s="46">
        <v>1.8</v>
      </c>
      <c r="N9" s="46">
        <v>6</v>
      </c>
      <c r="O9" s="47">
        <f t="shared" si="0"/>
        <v>101.51317440000001</v>
      </c>
    </row>
    <row r="10" spans="2:15" ht="15" customHeight="1" x14ac:dyDescent="0.3">
      <c r="B10" s="9"/>
      <c r="C10" s="9"/>
      <c r="D10" s="9"/>
      <c r="E10" s="9"/>
      <c r="F10" s="9"/>
      <c r="G10" s="9"/>
      <c r="H10" s="9"/>
      <c r="J10" s="45" t="s">
        <v>9</v>
      </c>
      <c r="K10" s="46">
        <v>3.5</v>
      </c>
      <c r="L10" s="46">
        <v>2.2000000000000002</v>
      </c>
      <c r="M10" s="46">
        <v>1.3</v>
      </c>
      <c r="N10" s="46">
        <v>7</v>
      </c>
      <c r="O10" s="47">
        <f t="shared" si="0"/>
        <v>99.789956933333357</v>
      </c>
    </row>
    <row r="11" spans="2:15" ht="15" customHeight="1" x14ac:dyDescent="0.3">
      <c r="B11" s="9"/>
      <c r="C11" s="9"/>
      <c r="D11" s="9"/>
      <c r="E11" s="9"/>
      <c r="F11" s="9"/>
      <c r="G11" s="9"/>
      <c r="H11" s="9"/>
      <c r="J11" s="45" t="s">
        <v>10</v>
      </c>
      <c r="K11" s="46">
        <v>3.4</v>
      </c>
      <c r="L11" s="46">
        <v>1.8</v>
      </c>
      <c r="M11" s="46">
        <v>1.6</v>
      </c>
      <c r="N11" s="46">
        <v>7</v>
      </c>
      <c r="O11" s="47">
        <f t="shared" si="0"/>
        <v>122.81840853333335</v>
      </c>
    </row>
    <row r="12" spans="2:15" ht="15" customHeight="1" x14ac:dyDescent="0.3">
      <c r="B12" s="9"/>
      <c r="C12" s="9"/>
      <c r="D12" s="9"/>
      <c r="E12" s="9"/>
      <c r="F12" s="9"/>
      <c r="G12" s="9"/>
      <c r="H12" s="9"/>
      <c r="J12" s="45" t="s">
        <v>11</v>
      </c>
      <c r="K12" s="46">
        <v>3.8</v>
      </c>
      <c r="L12" s="46">
        <v>2.2000000000000002</v>
      </c>
      <c r="M12" s="46">
        <v>1.7</v>
      </c>
      <c r="N12" s="46">
        <v>8</v>
      </c>
      <c r="O12" s="47">
        <f t="shared" si="0"/>
        <v>170.44187306666672</v>
      </c>
    </row>
    <row r="13" spans="2:15" ht="15" customHeight="1" x14ac:dyDescent="0.3">
      <c r="B13" s="9"/>
      <c r="C13" s="9"/>
      <c r="D13" s="9"/>
      <c r="E13" s="9"/>
      <c r="F13" s="9"/>
      <c r="G13" s="9"/>
      <c r="H13" s="9"/>
      <c r="J13" s="45" t="s">
        <v>12</v>
      </c>
      <c r="K13" s="46">
        <v>4.3</v>
      </c>
      <c r="L13" s="46">
        <v>2.4</v>
      </c>
      <c r="M13" s="46">
        <v>1.9</v>
      </c>
      <c r="N13" s="46">
        <v>9</v>
      </c>
      <c r="O13" s="47">
        <f t="shared" si="0"/>
        <v>241.09378920000003</v>
      </c>
    </row>
    <row r="14" spans="2:15" ht="15" customHeight="1" x14ac:dyDescent="0.3">
      <c r="B14" s="9"/>
      <c r="C14" s="9"/>
      <c r="D14" s="9"/>
      <c r="E14" s="9"/>
      <c r="F14" s="9"/>
      <c r="G14" s="9"/>
      <c r="H14" s="9"/>
      <c r="J14" s="45" t="s">
        <v>13</v>
      </c>
      <c r="K14" s="46">
        <v>4.8</v>
      </c>
      <c r="L14" s="46">
        <v>2.4</v>
      </c>
      <c r="M14" s="46">
        <v>2.4</v>
      </c>
      <c r="N14" s="46">
        <v>9</v>
      </c>
      <c r="O14" s="47">
        <f t="shared" si="0"/>
        <v>304.53952320000008</v>
      </c>
    </row>
    <row r="15" spans="2:15" ht="15" customHeight="1" thickBot="1" x14ac:dyDescent="0.35">
      <c r="B15" s="9"/>
      <c r="C15" s="9"/>
      <c r="D15" s="9"/>
      <c r="E15" s="9"/>
      <c r="F15" s="9"/>
      <c r="G15" s="9"/>
      <c r="H15" s="9"/>
      <c r="J15" s="48" t="s">
        <v>14</v>
      </c>
      <c r="K15" s="49">
        <v>4.8</v>
      </c>
      <c r="L15" s="49">
        <v>2.6</v>
      </c>
      <c r="M15" s="49">
        <v>2.2000000000000002</v>
      </c>
      <c r="N15" s="49">
        <v>10</v>
      </c>
      <c r="O15" s="50">
        <f t="shared" si="0"/>
        <v>344.64349333333342</v>
      </c>
    </row>
    <row r="16" spans="2:15" ht="78.75" customHeight="1" x14ac:dyDescent="0.25">
      <c r="J16" s="165" t="s">
        <v>47</v>
      </c>
      <c r="K16" s="165"/>
      <c r="L16" s="165"/>
      <c r="M16" s="165"/>
      <c r="N16" s="165"/>
      <c r="O16" s="165"/>
    </row>
    <row r="17" spans="1:35" ht="9.75" customHeight="1" x14ac:dyDescent="0.25">
      <c r="J17" s="51"/>
    </row>
    <row r="18" spans="1:35" s="16" customFormat="1" ht="30" customHeight="1" thickBot="1" x14ac:dyDescent="0.3">
      <c r="A18" s="5"/>
      <c r="B18" s="5"/>
      <c r="C18" s="5"/>
      <c r="D18" s="5"/>
      <c r="E18" s="5"/>
      <c r="F18" s="5"/>
      <c r="G18" s="5"/>
      <c r="H18" s="5"/>
      <c r="I18" s="5"/>
      <c r="J18" s="43"/>
      <c r="K18" s="52">
        <f>((C23/2)^2*3.1415-(1.25*(C23-4)/2)^2*3.1415)</f>
        <v>18.407226562500004</v>
      </c>
      <c r="L18" s="43">
        <f>(C23/2)^2*3.1415</f>
        <v>19.634375000000002</v>
      </c>
      <c r="M18" s="43"/>
      <c r="N18" s="43"/>
      <c r="O18" s="43"/>
    </row>
    <row r="19" spans="1:35" s="16" customFormat="1" ht="81" customHeight="1" x14ac:dyDescent="0.3">
      <c r="A19" s="22" t="s">
        <v>0</v>
      </c>
      <c r="B19" s="23" t="s">
        <v>3</v>
      </c>
      <c r="C19" s="23" t="s">
        <v>15</v>
      </c>
      <c r="D19" s="70" t="s">
        <v>121</v>
      </c>
      <c r="E19" s="71" t="s">
        <v>27</v>
      </c>
      <c r="F19" s="56" t="s">
        <v>122</v>
      </c>
      <c r="G19" s="53" t="s">
        <v>27</v>
      </c>
      <c r="H19" s="56" t="s">
        <v>123</v>
      </c>
      <c r="I19" s="54" t="s">
        <v>27</v>
      </c>
      <c r="J19" s="43"/>
      <c r="K19" s="43"/>
      <c r="L19" s="43"/>
      <c r="M19" s="43"/>
      <c r="N19" s="43"/>
      <c r="O19" s="43"/>
    </row>
    <row r="20" spans="1:35" s="16" customFormat="1" ht="15.75" customHeight="1" x14ac:dyDescent="0.3">
      <c r="A20" s="28" t="s">
        <v>4</v>
      </c>
      <c r="B20" s="29">
        <v>0.7</v>
      </c>
      <c r="C20" s="30">
        <v>2</v>
      </c>
      <c r="D20" s="31">
        <f>(C20/2)^2*3.1415*3.2*(B20/12)*7.48/2</f>
        <v>2.193185866666667</v>
      </c>
      <c r="E20" s="72">
        <f>D20*10/68.6</f>
        <v>0.31970639455782324</v>
      </c>
      <c r="F20" s="60">
        <f t="shared" ref="F20:F30" si="1">((6+0.25*C20)^2*3.1415*4*(B20/12)*7.48/10)*0.5</f>
        <v>11.582762858333334</v>
      </c>
      <c r="G20" s="72">
        <f>F20*10/68.6</f>
        <v>1.6884493962585037</v>
      </c>
      <c r="H20" s="60">
        <f t="shared" ref="H20:H30" si="2">((7.5+0.25*C20)^2*3.1415*4*(B20/12)*7.48/14)*0.5</f>
        <v>12.532490666666666</v>
      </c>
      <c r="I20" s="72">
        <f>H20*14/68.6</f>
        <v>2.5576511564625855</v>
      </c>
      <c r="J20" s="43"/>
      <c r="K20" s="43"/>
      <c r="L20" s="43"/>
      <c r="M20" s="43"/>
      <c r="N20" s="43"/>
      <c r="O20" s="43"/>
      <c r="P20" s="67"/>
      <c r="Q20" s="67"/>
      <c r="R20" s="67"/>
      <c r="S20" s="68"/>
      <c r="T20" s="67"/>
      <c r="U20" s="67"/>
      <c r="V20" s="67"/>
      <c r="W20" s="68"/>
      <c r="X20" s="67"/>
      <c r="Y20" s="67"/>
      <c r="Z20" s="67"/>
      <c r="AA20" s="68"/>
      <c r="AB20" s="67"/>
      <c r="AC20" s="67"/>
      <c r="AD20" s="67"/>
      <c r="AE20" s="68"/>
      <c r="AF20" s="67"/>
      <c r="AG20" s="67"/>
      <c r="AH20" s="67"/>
      <c r="AI20" s="68"/>
    </row>
    <row r="21" spans="1:35" s="16" customFormat="1" ht="15.75" customHeight="1" x14ac:dyDescent="0.3">
      <c r="A21" s="28" t="s">
        <v>5</v>
      </c>
      <c r="B21" s="35">
        <v>1.1000000000000001</v>
      </c>
      <c r="C21" s="36">
        <v>3</v>
      </c>
      <c r="D21" s="31">
        <f>(C21/2)^2*3.1415*3.2*(B21/12)*7.48/2</f>
        <v>7.7544786000000032</v>
      </c>
      <c r="E21" s="73">
        <f t="shared" ref="E21:G30" si="3">D21*10/68.6</f>
        <v>1.1303904664723037</v>
      </c>
      <c r="F21" s="60">
        <f t="shared" si="1"/>
        <v>19.628523956250007</v>
      </c>
      <c r="G21" s="73">
        <f t="shared" si="3"/>
        <v>2.8613008682580188</v>
      </c>
      <c r="H21" s="60">
        <f t="shared" si="2"/>
        <v>20.944015861607145</v>
      </c>
      <c r="I21" s="73">
        <f t="shared" ref="I21:I30" si="4">H21*14/68.6</f>
        <v>4.2742889513483977</v>
      </c>
      <c r="J21" s="43"/>
      <c r="K21" s="57" t="s">
        <v>44</v>
      </c>
      <c r="L21" s="57" t="s">
        <v>42</v>
      </c>
      <c r="M21" s="57" t="s">
        <v>43</v>
      </c>
      <c r="N21" s="59" t="s">
        <v>45</v>
      </c>
      <c r="O21" s="43"/>
      <c r="P21" s="67"/>
      <c r="Q21" s="67"/>
      <c r="R21" s="67"/>
      <c r="S21" s="68"/>
      <c r="T21" s="67"/>
      <c r="U21" s="67"/>
      <c r="V21" s="67"/>
      <c r="W21" s="68"/>
      <c r="X21" s="67"/>
      <c r="Y21" s="67"/>
      <c r="Z21" s="67"/>
      <c r="AA21" s="68"/>
      <c r="AB21" s="67"/>
      <c r="AC21" s="67"/>
      <c r="AD21" s="67"/>
      <c r="AE21" s="68"/>
      <c r="AF21" s="67"/>
      <c r="AG21" s="67"/>
      <c r="AH21" s="67"/>
      <c r="AI21" s="68"/>
    </row>
    <row r="22" spans="1:35" s="16" customFormat="1" ht="15.75" customHeight="1" x14ac:dyDescent="0.3">
      <c r="A22" s="28" t="s">
        <v>6</v>
      </c>
      <c r="B22" s="35">
        <v>1.4</v>
      </c>
      <c r="C22" s="36">
        <v>4</v>
      </c>
      <c r="D22" s="31">
        <f>(C22/2)^2*3.1415*3.2*(B22/12)*7.48/2</f>
        <v>17.545486933333336</v>
      </c>
      <c r="E22" s="73">
        <f t="shared" si="3"/>
        <v>2.5576511564625859</v>
      </c>
      <c r="F22" s="60">
        <f t="shared" si="1"/>
        <v>26.866526866666668</v>
      </c>
      <c r="G22" s="73">
        <f t="shared" si="3"/>
        <v>3.9164033333333341</v>
      </c>
      <c r="H22" s="60">
        <f t="shared" si="2"/>
        <v>28.296014083333336</v>
      </c>
      <c r="I22" s="73">
        <f t="shared" si="4"/>
        <v>5.7746967517006809</v>
      </c>
      <c r="J22" s="43"/>
      <c r="K22" s="57">
        <v>5</v>
      </c>
      <c r="L22" s="58">
        <f t="shared" ref="L22:L27" si="5">(K22/2)^2*3.1415</f>
        <v>19.634375000000002</v>
      </c>
      <c r="M22" s="57">
        <f t="shared" ref="M22:M27" si="6">K22-4</f>
        <v>1</v>
      </c>
      <c r="N22" s="58">
        <f t="shared" ref="N22:N27" si="7">(1.25*M22/2)^2*3.1413</f>
        <v>1.2270703125</v>
      </c>
      <c r="O22" s="43"/>
      <c r="P22" s="67"/>
      <c r="Q22" s="67"/>
      <c r="R22" s="67"/>
      <c r="S22" s="68"/>
      <c r="T22" s="67"/>
      <c r="U22" s="67"/>
      <c r="V22" s="67"/>
      <c r="W22" s="68"/>
      <c r="X22" s="67"/>
      <c r="Y22" s="67"/>
      <c r="Z22" s="67"/>
      <c r="AA22" s="68"/>
      <c r="AB22" s="67"/>
      <c r="AC22" s="67"/>
      <c r="AD22" s="67"/>
      <c r="AE22" s="68"/>
      <c r="AF22" s="67"/>
      <c r="AG22" s="67"/>
      <c r="AH22" s="67"/>
      <c r="AI22" s="68"/>
    </row>
    <row r="23" spans="1:35" s="16" customFormat="1" ht="15.75" customHeight="1" x14ac:dyDescent="0.3">
      <c r="A23" s="28" t="s">
        <v>7</v>
      </c>
      <c r="B23" s="35">
        <v>1.8</v>
      </c>
      <c r="C23" s="36">
        <v>5</v>
      </c>
      <c r="D23" s="31">
        <f>4*C23*3.2*(B23/12)*7.48/2</f>
        <v>35.904000000000003</v>
      </c>
      <c r="E23" s="73">
        <f t="shared" si="3"/>
        <v>5.2338192419825083</v>
      </c>
      <c r="F23" s="60">
        <f t="shared" si="1"/>
        <v>37.054071037500009</v>
      </c>
      <c r="G23" s="73">
        <f t="shared" si="3"/>
        <v>5.4014680812682236</v>
      </c>
      <c r="H23" s="60">
        <f t="shared" si="2"/>
        <v>38.552095312500001</v>
      </c>
      <c r="I23" s="73">
        <f t="shared" si="4"/>
        <v>7.8677745535714294</v>
      </c>
      <c r="J23" s="43"/>
      <c r="K23" s="57">
        <v>6</v>
      </c>
      <c r="L23" s="58">
        <f t="shared" si="5"/>
        <v>28.273500000000002</v>
      </c>
      <c r="M23" s="57">
        <f t="shared" si="6"/>
        <v>2</v>
      </c>
      <c r="N23" s="58">
        <f t="shared" si="7"/>
        <v>4.9082812499999999</v>
      </c>
      <c r="O23" s="43"/>
      <c r="P23" s="67"/>
      <c r="Q23" s="67"/>
      <c r="R23" s="67"/>
      <c r="S23" s="68"/>
      <c r="T23" s="67"/>
      <c r="U23" s="67"/>
      <c r="V23" s="67"/>
      <c r="W23" s="68"/>
      <c r="X23" s="67"/>
      <c r="Y23" s="67"/>
      <c r="Z23" s="67"/>
      <c r="AA23" s="68"/>
      <c r="AB23" s="67"/>
      <c r="AC23" s="67"/>
      <c r="AD23" s="67"/>
      <c r="AE23" s="68"/>
      <c r="AF23" s="67"/>
      <c r="AG23" s="67"/>
      <c r="AH23" s="67"/>
      <c r="AI23" s="68"/>
    </row>
    <row r="24" spans="1:35" s="16" customFormat="1" ht="15.75" customHeight="1" x14ac:dyDescent="0.3">
      <c r="A24" s="28" t="s">
        <v>8</v>
      </c>
      <c r="B24" s="35">
        <v>1.8</v>
      </c>
      <c r="C24" s="36">
        <v>6</v>
      </c>
      <c r="D24" s="31">
        <f t="shared" ref="D24:D30" si="8">4*C24*3.2*(B24/12)*7.48/2</f>
        <v>43.084800000000008</v>
      </c>
      <c r="E24" s="73">
        <f t="shared" si="3"/>
        <v>6.2805830903790101</v>
      </c>
      <c r="F24" s="60">
        <f t="shared" si="1"/>
        <v>39.653583750000003</v>
      </c>
      <c r="G24" s="73">
        <f t="shared" si="3"/>
        <v>5.7804057944606422</v>
      </c>
      <c r="H24" s="60">
        <f t="shared" si="2"/>
        <v>40.786543285714288</v>
      </c>
      <c r="I24" s="73">
        <f t="shared" si="4"/>
        <v>8.3237843440233252</v>
      </c>
      <c r="J24" s="43"/>
      <c r="K24" s="57">
        <v>7</v>
      </c>
      <c r="L24" s="58">
        <f t="shared" si="5"/>
        <v>38.483375000000002</v>
      </c>
      <c r="M24" s="57">
        <f t="shared" si="6"/>
        <v>3</v>
      </c>
      <c r="N24" s="58">
        <f t="shared" si="7"/>
        <v>11.0436328125</v>
      </c>
      <c r="O24" s="43"/>
      <c r="P24" s="67"/>
      <c r="Q24" s="67"/>
      <c r="R24" s="67"/>
      <c r="S24" s="68"/>
      <c r="T24" s="67"/>
      <c r="U24" s="67"/>
      <c r="V24" s="67"/>
      <c r="W24" s="68"/>
      <c r="X24" s="67"/>
      <c r="Y24" s="67"/>
      <c r="Z24" s="67"/>
      <c r="AA24" s="68"/>
      <c r="AB24" s="67"/>
      <c r="AC24" s="67"/>
      <c r="AD24" s="67"/>
      <c r="AE24" s="68"/>
      <c r="AF24" s="67"/>
      <c r="AG24" s="67"/>
      <c r="AH24" s="67"/>
      <c r="AI24" s="68"/>
    </row>
    <row r="25" spans="1:35" s="16" customFormat="1" ht="15.75" customHeight="1" x14ac:dyDescent="0.3">
      <c r="A25" s="28" t="s">
        <v>9</v>
      </c>
      <c r="B25" s="35">
        <v>1.3</v>
      </c>
      <c r="C25" s="36">
        <v>6</v>
      </c>
      <c r="D25" s="31">
        <f t="shared" si="8"/>
        <v>31.116800000000008</v>
      </c>
      <c r="E25" s="73">
        <f t="shared" si="3"/>
        <v>4.5359766763848413</v>
      </c>
      <c r="F25" s="60">
        <f t="shared" si="1"/>
        <v>28.638699375000005</v>
      </c>
      <c r="G25" s="73">
        <f t="shared" si="3"/>
        <v>4.1747375182215753</v>
      </c>
      <c r="H25" s="60">
        <f t="shared" si="2"/>
        <v>29.456947928571431</v>
      </c>
      <c r="I25" s="73">
        <f t="shared" si="4"/>
        <v>6.0116220262390678</v>
      </c>
      <c r="J25" s="43"/>
      <c r="K25" s="57">
        <v>8</v>
      </c>
      <c r="L25" s="58">
        <f t="shared" si="5"/>
        <v>50.264000000000003</v>
      </c>
      <c r="M25" s="57">
        <f t="shared" si="6"/>
        <v>4</v>
      </c>
      <c r="N25" s="58">
        <f t="shared" si="7"/>
        <v>19.633125</v>
      </c>
      <c r="O25" s="43"/>
      <c r="P25" s="67"/>
      <c r="Q25" s="67"/>
      <c r="R25" s="67"/>
      <c r="S25" s="68"/>
      <c r="T25" s="67"/>
      <c r="U25" s="67"/>
      <c r="V25" s="67"/>
      <c r="W25" s="68"/>
      <c r="X25" s="67"/>
      <c r="Y25" s="67"/>
      <c r="Z25" s="67"/>
      <c r="AA25" s="68"/>
      <c r="AB25" s="67"/>
      <c r="AC25" s="67"/>
      <c r="AD25" s="67"/>
      <c r="AE25" s="68"/>
      <c r="AF25" s="67"/>
      <c r="AG25" s="67"/>
      <c r="AH25" s="67"/>
      <c r="AI25" s="68"/>
    </row>
    <row r="26" spans="1:35" s="16" customFormat="1" ht="15.75" customHeight="1" x14ac:dyDescent="0.3">
      <c r="A26" s="28" t="s">
        <v>10</v>
      </c>
      <c r="B26" s="35">
        <v>1.6</v>
      </c>
      <c r="C26" s="36">
        <v>7</v>
      </c>
      <c r="D26" s="31">
        <f t="shared" si="8"/>
        <v>44.680533333333337</v>
      </c>
      <c r="E26" s="73">
        <f t="shared" si="3"/>
        <v>6.5131972789115657</v>
      </c>
      <c r="F26" s="60">
        <f t="shared" si="1"/>
        <v>37.636636033333346</v>
      </c>
      <c r="G26" s="73">
        <f t="shared" si="3"/>
        <v>5.4863900923226456</v>
      </c>
      <c r="H26" s="60">
        <f t="shared" si="2"/>
        <v>38.296829738095241</v>
      </c>
      <c r="I26" s="73">
        <f t="shared" si="4"/>
        <v>7.8156795383867843</v>
      </c>
      <c r="J26" s="43"/>
      <c r="K26" s="57">
        <v>9</v>
      </c>
      <c r="L26" s="58">
        <f t="shared" si="5"/>
        <v>63.615375</v>
      </c>
      <c r="M26" s="57">
        <f t="shared" si="6"/>
        <v>5</v>
      </c>
      <c r="N26" s="58">
        <f t="shared" si="7"/>
        <v>30.676757812500004</v>
      </c>
      <c r="O26" s="43"/>
      <c r="P26" s="67"/>
      <c r="Q26" s="67"/>
      <c r="R26" s="67"/>
      <c r="S26" s="68"/>
      <c r="T26" s="67"/>
      <c r="U26" s="67"/>
      <c r="V26" s="67"/>
      <c r="W26" s="68"/>
      <c r="X26" s="67"/>
      <c r="Y26" s="67"/>
      <c r="Z26" s="67"/>
      <c r="AA26" s="68"/>
      <c r="AB26" s="67"/>
      <c r="AC26" s="67"/>
      <c r="AD26" s="67"/>
      <c r="AE26" s="68"/>
      <c r="AF26" s="67"/>
      <c r="AG26" s="67"/>
      <c r="AH26" s="67"/>
      <c r="AI26" s="68"/>
    </row>
    <row r="27" spans="1:35" s="16" customFormat="1" ht="15.75" customHeight="1" x14ac:dyDescent="0.3">
      <c r="A27" s="28" t="s">
        <v>11</v>
      </c>
      <c r="B27" s="35">
        <v>1.7</v>
      </c>
      <c r="C27" s="36">
        <v>8</v>
      </c>
      <c r="D27" s="31">
        <f t="shared" si="8"/>
        <v>54.254933333333341</v>
      </c>
      <c r="E27" s="73">
        <f t="shared" si="3"/>
        <v>7.9088824101069015</v>
      </c>
      <c r="F27" s="60">
        <f t="shared" si="1"/>
        <v>42.610468266666672</v>
      </c>
      <c r="G27" s="73">
        <f t="shared" si="3"/>
        <v>6.2114385228377076</v>
      </c>
      <c r="H27" s="60">
        <f t="shared" si="2"/>
        <v>42.919584386904759</v>
      </c>
      <c r="I27" s="73">
        <f t="shared" si="4"/>
        <v>8.7590988544703592</v>
      </c>
      <c r="J27" s="43"/>
      <c r="K27" s="57">
        <v>10</v>
      </c>
      <c r="L27" s="58">
        <f t="shared" si="5"/>
        <v>78.537500000000009</v>
      </c>
      <c r="M27" s="57">
        <f t="shared" si="6"/>
        <v>6</v>
      </c>
      <c r="N27" s="58">
        <f t="shared" si="7"/>
        <v>44.174531250000001</v>
      </c>
      <c r="O27" s="43"/>
      <c r="P27" s="67"/>
      <c r="Q27" s="67"/>
      <c r="R27" s="67"/>
      <c r="S27" s="68"/>
      <c r="T27" s="67"/>
      <c r="U27" s="67"/>
      <c r="V27" s="67"/>
      <c r="W27" s="68"/>
      <c r="X27" s="67"/>
      <c r="Y27" s="67"/>
      <c r="Z27" s="67"/>
      <c r="AA27" s="68"/>
      <c r="AB27" s="67"/>
      <c r="AC27" s="67"/>
      <c r="AD27" s="67"/>
      <c r="AE27" s="68"/>
      <c r="AF27" s="67"/>
      <c r="AG27" s="67"/>
      <c r="AH27" s="67"/>
      <c r="AI27" s="68"/>
    </row>
    <row r="28" spans="1:35" s="16" customFormat="1" ht="15.75" customHeight="1" x14ac:dyDescent="0.3">
      <c r="A28" s="28" t="s">
        <v>12</v>
      </c>
      <c r="B28" s="35">
        <v>1.9</v>
      </c>
      <c r="C28" s="36">
        <v>9</v>
      </c>
      <c r="D28" s="31">
        <f t="shared" si="8"/>
        <v>68.217600000000004</v>
      </c>
      <c r="E28" s="73">
        <f t="shared" si="3"/>
        <v>9.9442565597667656</v>
      </c>
      <c r="F28" s="60">
        <f t="shared" si="1"/>
        <v>50.646438356250009</v>
      </c>
      <c r="G28" s="73">
        <f t="shared" si="3"/>
        <v>7.3828627341472322</v>
      </c>
      <c r="H28" s="60">
        <f t="shared" si="2"/>
        <v>50.526848183035725</v>
      </c>
      <c r="I28" s="73">
        <f t="shared" si="4"/>
        <v>10.311601670007292</v>
      </c>
      <c r="J28" s="43"/>
      <c r="L28" s="58"/>
      <c r="M28" s="57"/>
      <c r="N28" s="57"/>
      <c r="O28" s="43"/>
      <c r="P28" s="67"/>
      <c r="Q28" s="67"/>
      <c r="R28" s="67"/>
      <c r="S28" s="68"/>
      <c r="T28" s="67"/>
      <c r="U28" s="67"/>
      <c r="V28" s="67"/>
      <c r="W28" s="68"/>
      <c r="X28" s="67"/>
      <c r="Y28" s="67"/>
      <c r="Z28" s="67"/>
      <c r="AA28" s="68"/>
      <c r="AB28" s="67"/>
      <c r="AC28" s="67"/>
      <c r="AD28" s="67"/>
      <c r="AE28" s="68"/>
      <c r="AF28" s="67"/>
      <c r="AG28" s="67"/>
      <c r="AH28" s="67"/>
      <c r="AI28" s="68"/>
    </row>
    <row r="29" spans="1:35" s="16" customFormat="1" ht="15.75" customHeight="1" x14ac:dyDescent="0.3">
      <c r="A29" s="28" t="s">
        <v>13</v>
      </c>
      <c r="B29" s="35">
        <v>2.4</v>
      </c>
      <c r="C29" s="36">
        <v>9</v>
      </c>
      <c r="D29" s="31">
        <f t="shared" si="8"/>
        <v>86.169600000000003</v>
      </c>
      <c r="E29" s="73">
        <f t="shared" si="3"/>
        <v>12.561166180758018</v>
      </c>
      <c r="F29" s="60">
        <f t="shared" si="1"/>
        <v>63.974448449999997</v>
      </c>
      <c r="G29" s="73">
        <f t="shared" si="3"/>
        <v>9.3257213483965025</v>
      </c>
      <c r="H29" s="60">
        <f t="shared" si="2"/>
        <v>63.82338717857143</v>
      </c>
      <c r="I29" s="73">
        <f t="shared" si="4"/>
        <v>13.025181056851315</v>
      </c>
      <c r="J29" s="43"/>
      <c r="L29" s="43"/>
      <c r="M29" s="43"/>
      <c r="N29" s="43"/>
      <c r="O29" s="43"/>
      <c r="P29" s="68"/>
      <c r="Q29" s="68"/>
      <c r="R29" s="68"/>
      <c r="S29" s="68"/>
      <c r="T29" s="68"/>
      <c r="U29" s="68"/>
      <c r="V29" s="68"/>
      <c r="W29" s="68"/>
      <c r="X29" s="68"/>
      <c r="Y29" s="68"/>
      <c r="Z29" s="68"/>
      <c r="AA29" s="68"/>
      <c r="AB29" s="68"/>
      <c r="AC29" s="68"/>
      <c r="AD29" s="68"/>
      <c r="AE29" s="68"/>
      <c r="AF29" s="68"/>
      <c r="AG29" s="68"/>
      <c r="AH29" s="68"/>
      <c r="AI29" s="68"/>
    </row>
    <row r="30" spans="1:35" ht="15.75" customHeight="1" thickBot="1" x14ac:dyDescent="0.35">
      <c r="A30" s="28" t="s">
        <v>14</v>
      </c>
      <c r="B30" s="37">
        <v>2.2000000000000002</v>
      </c>
      <c r="C30" s="38">
        <v>10</v>
      </c>
      <c r="D30" s="39">
        <f t="shared" si="8"/>
        <v>87.765333333333345</v>
      </c>
      <c r="E30" s="74">
        <f t="shared" si="3"/>
        <v>12.793780369290575</v>
      </c>
      <c r="F30" s="64">
        <f t="shared" si="1"/>
        <v>62.251230983333343</v>
      </c>
      <c r="G30" s="74">
        <f t="shared" si="3"/>
        <v>9.0745234669582153</v>
      </c>
      <c r="H30" s="64">
        <f t="shared" si="2"/>
        <v>61.543480952380968</v>
      </c>
      <c r="I30" s="74">
        <f t="shared" si="4"/>
        <v>12.559894071914485</v>
      </c>
      <c r="K30" s="61">
        <v>0.25</v>
      </c>
      <c r="L30" s="138" t="s">
        <v>116</v>
      </c>
      <c r="N30" s="61"/>
      <c r="P30" s="66"/>
      <c r="Q30" s="66"/>
      <c r="R30" s="66"/>
      <c r="S30" s="69"/>
      <c r="T30" s="66"/>
      <c r="U30" s="66"/>
      <c r="V30" s="66"/>
      <c r="W30" s="69"/>
      <c r="X30" s="66"/>
      <c r="Y30" s="66"/>
      <c r="Z30" s="66"/>
      <c r="AA30" s="69"/>
      <c r="AB30" s="66"/>
      <c r="AC30" s="66"/>
      <c r="AD30" s="66"/>
      <c r="AE30" s="69"/>
      <c r="AF30" s="66"/>
      <c r="AG30" s="66"/>
      <c r="AH30" s="66"/>
      <c r="AI30" s="69"/>
    </row>
    <row r="31" spans="1:35" ht="15.75" customHeight="1" x14ac:dyDescent="0.3">
      <c r="A31" s="20" t="s">
        <v>41</v>
      </c>
      <c r="B31" s="21"/>
      <c r="C31" s="16"/>
      <c r="D31" s="16"/>
      <c r="E31" s="16"/>
      <c r="F31" s="16"/>
      <c r="G31" s="16"/>
      <c r="H31" s="16"/>
      <c r="I31" s="16"/>
      <c r="K31" s="60">
        <f>K30*20*22/12*7.48</f>
        <v>68.566666666666663</v>
      </c>
      <c r="L31" s="138" t="s">
        <v>117</v>
      </c>
      <c r="P31" s="66"/>
      <c r="Q31" s="66"/>
      <c r="R31" s="66"/>
      <c r="S31" s="69"/>
      <c r="T31" s="66"/>
      <c r="U31" s="66"/>
      <c r="V31" s="66"/>
      <c r="W31" s="69"/>
      <c r="X31" s="66"/>
      <c r="Y31" s="66"/>
      <c r="Z31" s="66"/>
      <c r="AA31" s="69"/>
      <c r="AB31" s="66"/>
      <c r="AC31" s="66"/>
      <c r="AD31" s="66"/>
      <c r="AE31" s="69"/>
      <c r="AF31" s="66"/>
      <c r="AG31" s="66"/>
      <c r="AH31" s="66"/>
      <c r="AI31" s="69"/>
    </row>
    <row r="32" spans="1:35" ht="15.75" customHeight="1" x14ac:dyDescent="0.25">
      <c r="A32" s="16" t="s">
        <v>118</v>
      </c>
      <c r="B32" s="16"/>
      <c r="C32" s="16"/>
      <c r="D32" s="16"/>
      <c r="E32" s="16"/>
      <c r="F32" s="16"/>
      <c r="G32" s="16"/>
      <c r="H32" s="16"/>
      <c r="P32" s="66"/>
      <c r="Q32" s="66"/>
      <c r="R32" s="66"/>
      <c r="S32" s="69"/>
      <c r="T32" s="66"/>
      <c r="U32" s="66"/>
      <c r="V32" s="66"/>
      <c r="W32" s="69"/>
      <c r="X32" s="66"/>
      <c r="Y32" s="66"/>
      <c r="Z32" s="66"/>
      <c r="AA32" s="69"/>
      <c r="AB32" s="66"/>
      <c r="AC32" s="66"/>
      <c r="AD32" s="66"/>
      <c r="AE32" s="69"/>
      <c r="AF32" s="66"/>
      <c r="AG32" s="66"/>
      <c r="AH32" s="66"/>
      <c r="AI32" s="69"/>
    </row>
    <row r="33" spans="1:35" ht="15.75" customHeight="1" x14ac:dyDescent="0.25">
      <c r="A33" s="16" t="s">
        <v>40</v>
      </c>
      <c r="B33" s="16"/>
      <c r="C33" s="16"/>
      <c r="D33" s="16"/>
      <c r="E33" s="16"/>
      <c r="F33" s="16"/>
      <c r="G33" s="16"/>
      <c r="H33" s="16"/>
      <c r="P33" s="66"/>
      <c r="Q33" s="66"/>
      <c r="R33" s="66"/>
      <c r="S33" s="69"/>
      <c r="T33" s="66"/>
      <c r="U33" s="66"/>
      <c r="V33" s="66"/>
      <c r="W33" s="69"/>
      <c r="X33" s="66"/>
      <c r="Y33" s="66"/>
      <c r="Z33" s="66"/>
      <c r="AA33" s="69"/>
      <c r="AB33" s="66"/>
      <c r="AC33" s="66"/>
      <c r="AD33" s="66"/>
      <c r="AE33" s="69"/>
      <c r="AF33" s="66"/>
      <c r="AG33" s="66"/>
      <c r="AH33" s="66"/>
      <c r="AI33" s="69"/>
    </row>
    <row r="34" spans="1:35" ht="15.75" customHeight="1" x14ac:dyDescent="0.25">
      <c r="A34" s="16"/>
      <c r="B34" s="16"/>
      <c r="C34" s="16"/>
      <c r="D34" s="16"/>
      <c r="E34" s="16"/>
      <c r="F34" s="16"/>
      <c r="G34" s="16"/>
      <c r="H34" s="16"/>
      <c r="L34" s="43">
        <f>0.25/0.3</f>
        <v>0.83333333333333337</v>
      </c>
      <c r="P34" s="66"/>
      <c r="Q34" s="66"/>
      <c r="R34" s="66"/>
      <c r="S34" s="69"/>
      <c r="T34" s="66"/>
      <c r="U34" s="66"/>
      <c r="V34" s="66"/>
      <c r="W34" s="69"/>
      <c r="X34" s="66"/>
      <c r="Y34" s="66"/>
      <c r="Z34" s="66"/>
      <c r="AA34" s="69"/>
      <c r="AB34" s="66"/>
      <c r="AC34" s="66"/>
      <c r="AD34" s="66"/>
      <c r="AE34" s="69"/>
      <c r="AF34" s="66"/>
      <c r="AG34" s="66"/>
      <c r="AH34" s="66"/>
      <c r="AI34" s="69"/>
    </row>
    <row r="35" spans="1:35" ht="21.75" customHeight="1" x14ac:dyDescent="0.25">
      <c r="C35" s="16"/>
      <c r="D35" s="16"/>
      <c r="E35" s="16"/>
      <c r="F35" s="16"/>
      <c r="J35" s="51"/>
      <c r="P35" s="66"/>
      <c r="Q35" s="66"/>
      <c r="R35" s="66"/>
      <c r="S35" s="69"/>
      <c r="T35" s="66"/>
      <c r="U35" s="66"/>
      <c r="V35" s="66"/>
      <c r="W35" s="69"/>
      <c r="X35" s="66"/>
      <c r="Y35" s="66"/>
      <c r="Z35" s="66"/>
      <c r="AA35" s="69"/>
      <c r="AB35" s="66"/>
      <c r="AC35" s="66"/>
      <c r="AD35" s="66"/>
      <c r="AE35" s="69"/>
      <c r="AF35" s="66"/>
      <c r="AG35" s="66"/>
      <c r="AH35" s="66"/>
      <c r="AI35" s="69"/>
    </row>
    <row r="36" spans="1:35" s="16" customFormat="1" ht="15.75" customHeight="1" x14ac:dyDescent="0.25">
      <c r="A36" s="5"/>
      <c r="B36" s="5"/>
      <c r="G36" s="5"/>
      <c r="H36" s="5"/>
      <c r="I36" s="5"/>
      <c r="J36" s="43"/>
      <c r="K36" s="52"/>
      <c r="L36" s="43"/>
      <c r="M36" s="43"/>
      <c r="N36" s="43"/>
      <c r="O36" s="43"/>
      <c r="P36" s="67"/>
      <c r="Q36" s="67"/>
      <c r="R36" s="67"/>
      <c r="S36" s="68"/>
      <c r="T36" s="67"/>
      <c r="U36" s="67"/>
      <c r="V36" s="67"/>
      <c r="W36" s="68"/>
      <c r="X36" s="67"/>
      <c r="Y36" s="67"/>
      <c r="Z36" s="67"/>
      <c r="AA36" s="68"/>
      <c r="AB36" s="67"/>
      <c r="AC36" s="67"/>
      <c r="AD36" s="67"/>
      <c r="AE36" s="68"/>
      <c r="AF36" s="67"/>
      <c r="AG36" s="67"/>
      <c r="AH36" s="67"/>
      <c r="AI36" s="68"/>
    </row>
    <row r="37" spans="1:35" ht="15.75" customHeight="1" x14ac:dyDescent="0.25">
      <c r="C37" s="16"/>
      <c r="D37" s="16"/>
      <c r="E37" s="16"/>
      <c r="F37" s="16"/>
      <c r="P37" s="66"/>
      <c r="Q37" s="66"/>
      <c r="R37" s="66"/>
      <c r="S37" s="69"/>
      <c r="T37" s="66"/>
      <c r="U37" s="66"/>
      <c r="V37" s="66"/>
      <c r="W37" s="69"/>
      <c r="X37" s="66"/>
      <c r="Y37" s="66"/>
      <c r="Z37" s="66"/>
      <c r="AA37" s="69"/>
      <c r="AB37" s="66"/>
      <c r="AC37" s="66"/>
      <c r="AD37" s="66"/>
      <c r="AE37" s="69"/>
      <c r="AF37" s="66"/>
      <c r="AG37" s="66"/>
      <c r="AH37" s="66"/>
      <c r="AI37" s="69"/>
    </row>
    <row r="38" spans="1:35" ht="14.25" customHeight="1" x14ac:dyDescent="0.25">
      <c r="C38" s="16"/>
      <c r="D38" s="16"/>
      <c r="E38" s="16"/>
      <c r="F38" s="16"/>
      <c r="P38" s="66"/>
      <c r="Q38" s="66"/>
      <c r="R38" s="66"/>
      <c r="S38" s="69"/>
      <c r="T38" s="66"/>
      <c r="U38" s="66"/>
      <c r="V38" s="66"/>
      <c r="W38" s="69"/>
      <c r="X38" s="66"/>
      <c r="Y38" s="66"/>
      <c r="Z38" s="66"/>
      <c r="AA38" s="69"/>
      <c r="AB38" s="66"/>
      <c r="AC38" s="66"/>
      <c r="AD38" s="66"/>
      <c r="AE38" s="69"/>
      <c r="AF38" s="66"/>
      <c r="AG38" s="66"/>
      <c r="AH38" s="66"/>
      <c r="AI38" s="69"/>
    </row>
    <row r="39" spans="1:35" ht="15.75" customHeight="1" x14ac:dyDescent="0.25">
      <c r="C39" s="16"/>
      <c r="D39" s="16"/>
      <c r="E39" s="16"/>
      <c r="F39" s="16"/>
      <c r="P39" s="66"/>
      <c r="Q39" s="66"/>
      <c r="R39" s="66"/>
      <c r="S39" s="69"/>
      <c r="T39" s="66"/>
      <c r="U39" s="66"/>
      <c r="V39" s="66"/>
      <c r="W39" s="69"/>
      <c r="X39" s="66"/>
      <c r="Y39" s="66"/>
      <c r="Z39" s="66"/>
      <c r="AA39" s="69"/>
      <c r="AB39" s="66"/>
      <c r="AC39" s="66"/>
      <c r="AD39" s="66"/>
      <c r="AE39" s="69"/>
      <c r="AF39" s="66"/>
      <c r="AG39" s="66"/>
      <c r="AH39" s="66"/>
      <c r="AI39" s="69"/>
    </row>
    <row r="40" spans="1:35" ht="15.75" customHeight="1" x14ac:dyDescent="0.25">
      <c r="C40" s="16"/>
      <c r="D40" s="16"/>
      <c r="E40" s="16"/>
      <c r="F40" s="16"/>
    </row>
    <row r="41" spans="1:35" x14ac:dyDescent="0.25">
      <c r="C41" s="16"/>
      <c r="D41" s="16"/>
      <c r="E41" s="16"/>
      <c r="F41" s="16"/>
    </row>
    <row r="42" spans="1:35" x14ac:dyDescent="0.25">
      <c r="C42" s="16"/>
      <c r="D42" s="16"/>
      <c r="E42" s="16"/>
      <c r="F42" s="16"/>
    </row>
    <row r="43" spans="1:35" x14ac:dyDescent="0.25">
      <c r="C43" s="16"/>
      <c r="D43" s="16"/>
      <c r="E43" s="16"/>
      <c r="F43" s="16"/>
    </row>
    <row r="44" spans="1:35" x14ac:dyDescent="0.25">
      <c r="C44" s="16"/>
      <c r="D44" s="16"/>
      <c r="E44" s="16"/>
      <c r="F44" s="16"/>
    </row>
    <row r="45" spans="1:35" x14ac:dyDescent="0.25">
      <c r="C45" s="16"/>
      <c r="D45" s="16"/>
      <c r="E45" s="16"/>
      <c r="F45" s="16"/>
    </row>
    <row r="46" spans="1:35" x14ac:dyDescent="0.25">
      <c r="C46" s="16"/>
      <c r="D46" s="16"/>
      <c r="E46" s="16"/>
      <c r="F46" s="16"/>
    </row>
    <row r="47" spans="1:35" x14ac:dyDescent="0.25">
      <c r="C47" s="16"/>
      <c r="D47" s="16"/>
      <c r="E47" s="16"/>
      <c r="F47" s="16"/>
    </row>
    <row r="48" spans="1:35" x14ac:dyDescent="0.25">
      <c r="C48" s="16"/>
      <c r="D48" s="16"/>
      <c r="E48" s="16"/>
      <c r="F48" s="16"/>
    </row>
    <row r="49" spans="3:6" x14ac:dyDescent="0.25">
      <c r="C49" s="16"/>
      <c r="D49" s="16"/>
      <c r="E49" s="16"/>
      <c r="F49" s="16"/>
    </row>
    <row r="50" spans="3:6" x14ac:dyDescent="0.25">
      <c r="C50" s="16"/>
      <c r="D50" s="16"/>
      <c r="E50" s="16"/>
      <c r="F50" s="16"/>
    </row>
    <row r="51" spans="3:6" x14ac:dyDescent="0.25">
      <c r="C51" s="16"/>
      <c r="D51" s="16"/>
      <c r="E51" s="16"/>
      <c r="F51" s="16"/>
    </row>
    <row r="52" spans="3:6" x14ac:dyDescent="0.25">
      <c r="C52" s="16"/>
      <c r="D52" s="16"/>
      <c r="E52" s="16"/>
      <c r="F52" s="16"/>
    </row>
    <row r="53" spans="3:6" x14ac:dyDescent="0.25">
      <c r="C53" s="16"/>
      <c r="D53" s="16"/>
      <c r="E53" s="16"/>
      <c r="F53" s="16"/>
    </row>
    <row r="54" spans="3:6" x14ac:dyDescent="0.25">
      <c r="C54" s="16"/>
      <c r="D54" s="16"/>
      <c r="E54" s="16"/>
      <c r="F54" s="16"/>
    </row>
    <row r="55" spans="3:6" x14ac:dyDescent="0.25">
      <c r="C55" s="16"/>
      <c r="D55" s="16"/>
      <c r="E55" s="16"/>
      <c r="F55" s="16"/>
    </row>
  </sheetData>
  <mergeCells count="1">
    <mergeCell ref="J16:O16"/>
  </mergeCells>
  <phoneticPr fontId="7" type="noConversion"/>
  <pageMargins left="0.75" right="0.75" top="1" bottom="1" header="0.5" footer="0.5"/>
  <pageSetup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EA5A9-97D5-4DDB-AFB0-E0F9818CD49C}">
  <dimension ref="A3:AL55"/>
  <sheetViews>
    <sheetView showGridLines="0" topLeftCell="A17" zoomScale="70" zoomScaleNormal="70" workbookViewId="0">
      <selection activeCell="P19" sqref="P19:AL40"/>
    </sheetView>
  </sheetViews>
  <sheetFormatPr defaultColWidth="9.1796875" defaultRowHeight="12.5" x14ac:dyDescent="0.25"/>
  <cols>
    <col min="1" max="1" width="17.54296875" style="6" customWidth="1"/>
    <col min="2" max="9" width="9.7265625" style="6" customWidth="1"/>
    <col min="10" max="10" width="17.26953125" style="43" customWidth="1"/>
    <col min="11" max="14" width="13.26953125" style="43" customWidth="1"/>
    <col min="15" max="15" width="11.54296875" style="43" customWidth="1"/>
    <col min="16" max="38" width="3" style="6" customWidth="1"/>
    <col min="39" max="16384" width="9.1796875" style="6"/>
  </cols>
  <sheetData>
    <row r="3" spans="2:15" ht="13" thickBot="1" x14ac:dyDescent="0.3"/>
    <row r="4" spans="2:15" s="7" customFormat="1" ht="66" customHeight="1" x14ac:dyDescent="0.3">
      <c r="J4" s="44" t="s">
        <v>0</v>
      </c>
      <c r="K4" s="44" t="s">
        <v>1</v>
      </c>
      <c r="L4" s="44" t="s">
        <v>32</v>
      </c>
      <c r="M4" s="44" t="s">
        <v>31</v>
      </c>
      <c r="N4" s="44" t="s">
        <v>15</v>
      </c>
      <c r="O4" s="44" t="s">
        <v>33</v>
      </c>
    </row>
    <row r="5" spans="2:15" ht="15" customHeight="1" x14ac:dyDescent="0.3">
      <c r="B5" s="9"/>
      <c r="C5" s="9"/>
      <c r="D5" s="9"/>
      <c r="E5" s="9"/>
      <c r="F5" s="9"/>
      <c r="G5" s="9"/>
      <c r="H5" s="9"/>
      <c r="J5" s="45" t="s">
        <v>4</v>
      </c>
      <c r="K5" s="46">
        <v>1.2</v>
      </c>
      <c r="L5" s="46">
        <v>0.5</v>
      </c>
      <c r="M5" s="46">
        <v>0.7</v>
      </c>
      <c r="N5" s="46">
        <v>2</v>
      </c>
      <c r="O5" s="47">
        <f t="shared" ref="O5:O15" si="0">N5^2*3.1415/4*3.2*M5/12*7.48</f>
        <v>4.3863717333333341</v>
      </c>
    </row>
    <row r="6" spans="2:15" ht="15" customHeight="1" x14ac:dyDescent="0.3">
      <c r="B6" s="9"/>
      <c r="C6" s="9"/>
      <c r="D6" s="9"/>
      <c r="E6" s="9"/>
      <c r="F6" s="9"/>
      <c r="G6" s="9"/>
      <c r="H6" s="9"/>
      <c r="J6" s="45" t="s">
        <v>5</v>
      </c>
      <c r="K6" s="46">
        <v>1.9</v>
      </c>
      <c r="L6" s="46">
        <v>0.8</v>
      </c>
      <c r="M6" s="46">
        <v>1.1000000000000001</v>
      </c>
      <c r="N6" s="46">
        <v>3</v>
      </c>
      <c r="O6" s="47">
        <f t="shared" si="0"/>
        <v>15.508957200000003</v>
      </c>
    </row>
    <row r="7" spans="2:15" ht="15" customHeight="1" x14ac:dyDescent="0.3">
      <c r="B7" s="9"/>
      <c r="C7" s="9"/>
      <c r="D7" s="9"/>
      <c r="E7" s="9"/>
      <c r="F7" s="9"/>
      <c r="G7" s="9"/>
      <c r="H7" s="9"/>
      <c r="J7" s="45" t="s">
        <v>6</v>
      </c>
      <c r="K7" s="46">
        <v>2.5</v>
      </c>
      <c r="L7" s="46">
        <v>1.1000000000000001</v>
      </c>
      <c r="M7" s="46">
        <v>1.4</v>
      </c>
      <c r="N7" s="46">
        <v>4</v>
      </c>
      <c r="O7" s="47">
        <f t="shared" si="0"/>
        <v>35.090973866666673</v>
      </c>
    </row>
    <row r="8" spans="2:15" ht="15" customHeight="1" x14ac:dyDescent="0.3">
      <c r="B8" s="9"/>
      <c r="C8" s="9"/>
      <c r="D8" s="9"/>
      <c r="E8" s="9"/>
      <c r="F8" s="9"/>
      <c r="G8" s="9"/>
      <c r="H8" s="9"/>
      <c r="J8" s="45" t="s">
        <v>7</v>
      </c>
      <c r="K8" s="46">
        <v>3.2</v>
      </c>
      <c r="L8" s="46">
        <v>1.4</v>
      </c>
      <c r="M8" s="46">
        <v>1.8</v>
      </c>
      <c r="N8" s="46">
        <v>5</v>
      </c>
      <c r="O8" s="47">
        <f t="shared" si="0"/>
        <v>70.495260000000016</v>
      </c>
    </row>
    <row r="9" spans="2:15" ht="15" customHeight="1" x14ac:dyDescent="0.3">
      <c r="B9" s="9"/>
      <c r="C9" s="9"/>
      <c r="D9" s="9"/>
      <c r="E9" s="9"/>
      <c r="F9" s="9"/>
      <c r="G9" s="9"/>
      <c r="H9" s="9"/>
      <c r="J9" s="45" t="s">
        <v>8</v>
      </c>
      <c r="K9" s="46">
        <v>3.6</v>
      </c>
      <c r="L9" s="46">
        <v>1.8</v>
      </c>
      <c r="M9" s="46">
        <v>1.8</v>
      </c>
      <c r="N9" s="46">
        <v>6</v>
      </c>
      <c r="O9" s="47">
        <f t="shared" si="0"/>
        <v>101.51317440000001</v>
      </c>
    </row>
    <row r="10" spans="2:15" ht="15" customHeight="1" x14ac:dyDescent="0.3">
      <c r="B10" s="9"/>
      <c r="C10" s="9"/>
      <c r="D10" s="9"/>
      <c r="E10" s="9"/>
      <c r="F10" s="9"/>
      <c r="G10" s="9"/>
      <c r="H10" s="9"/>
      <c r="J10" s="45" t="s">
        <v>9</v>
      </c>
      <c r="K10" s="46">
        <v>3.5</v>
      </c>
      <c r="L10" s="46">
        <v>2.2000000000000002</v>
      </c>
      <c r="M10" s="46">
        <v>1.3</v>
      </c>
      <c r="N10" s="46">
        <v>7</v>
      </c>
      <c r="O10" s="47">
        <f t="shared" si="0"/>
        <v>99.789956933333357</v>
      </c>
    </row>
    <row r="11" spans="2:15" ht="15" customHeight="1" x14ac:dyDescent="0.3">
      <c r="B11" s="9"/>
      <c r="C11" s="9"/>
      <c r="D11" s="9"/>
      <c r="E11" s="9"/>
      <c r="F11" s="9"/>
      <c r="G11" s="9"/>
      <c r="H11" s="9"/>
      <c r="J11" s="45" t="s">
        <v>10</v>
      </c>
      <c r="K11" s="46">
        <v>3.4</v>
      </c>
      <c r="L11" s="46">
        <v>1.8</v>
      </c>
      <c r="M11" s="46">
        <v>1.6</v>
      </c>
      <c r="N11" s="46">
        <v>7</v>
      </c>
      <c r="O11" s="47">
        <f t="shared" si="0"/>
        <v>122.81840853333335</v>
      </c>
    </row>
    <row r="12" spans="2:15" ht="15" customHeight="1" x14ac:dyDescent="0.3">
      <c r="B12" s="9"/>
      <c r="C12" s="9"/>
      <c r="D12" s="9"/>
      <c r="E12" s="9"/>
      <c r="F12" s="9"/>
      <c r="G12" s="9"/>
      <c r="H12" s="9"/>
      <c r="J12" s="45" t="s">
        <v>11</v>
      </c>
      <c r="K12" s="46">
        <v>3.8</v>
      </c>
      <c r="L12" s="46">
        <v>2.2000000000000002</v>
      </c>
      <c r="M12" s="46">
        <v>1.7</v>
      </c>
      <c r="N12" s="46">
        <v>8</v>
      </c>
      <c r="O12" s="47">
        <f t="shared" si="0"/>
        <v>170.44187306666672</v>
      </c>
    </row>
    <row r="13" spans="2:15" ht="15" customHeight="1" x14ac:dyDescent="0.3">
      <c r="B13" s="9"/>
      <c r="C13" s="9"/>
      <c r="D13" s="9"/>
      <c r="E13" s="9"/>
      <c r="F13" s="9"/>
      <c r="G13" s="9"/>
      <c r="H13" s="9"/>
      <c r="J13" s="45" t="s">
        <v>12</v>
      </c>
      <c r="K13" s="46">
        <v>4.3</v>
      </c>
      <c r="L13" s="46">
        <v>2.4</v>
      </c>
      <c r="M13" s="46">
        <v>1.9</v>
      </c>
      <c r="N13" s="46">
        <v>9</v>
      </c>
      <c r="O13" s="47">
        <f t="shared" si="0"/>
        <v>241.09378920000003</v>
      </c>
    </row>
    <row r="14" spans="2:15" ht="15" customHeight="1" x14ac:dyDescent="0.3">
      <c r="B14" s="9"/>
      <c r="C14" s="9"/>
      <c r="D14" s="9"/>
      <c r="E14" s="9"/>
      <c r="F14" s="9"/>
      <c r="G14" s="9"/>
      <c r="H14" s="9"/>
      <c r="J14" s="45" t="s">
        <v>13</v>
      </c>
      <c r="K14" s="46">
        <v>4.8</v>
      </c>
      <c r="L14" s="46">
        <v>2.4</v>
      </c>
      <c r="M14" s="46">
        <v>2.4</v>
      </c>
      <c r="N14" s="46">
        <v>9</v>
      </c>
      <c r="O14" s="47">
        <f t="shared" si="0"/>
        <v>304.53952320000008</v>
      </c>
    </row>
    <row r="15" spans="2:15" ht="15" customHeight="1" thickBot="1" x14ac:dyDescent="0.35">
      <c r="B15" s="9"/>
      <c r="C15" s="9"/>
      <c r="D15" s="9"/>
      <c r="E15" s="9"/>
      <c r="F15" s="9"/>
      <c r="G15" s="9"/>
      <c r="H15" s="9"/>
      <c r="J15" s="48" t="s">
        <v>14</v>
      </c>
      <c r="K15" s="49">
        <v>4.8</v>
      </c>
      <c r="L15" s="49">
        <v>2.6</v>
      </c>
      <c r="M15" s="49">
        <v>2.2000000000000002</v>
      </c>
      <c r="N15" s="49">
        <v>10</v>
      </c>
      <c r="O15" s="50">
        <f t="shared" si="0"/>
        <v>344.64349333333342</v>
      </c>
    </row>
    <row r="16" spans="2:15" ht="78.75" customHeight="1" x14ac:dyDescent="0.25">
      <c r="J16" s="165" t="s">
        <v>47</v>
      </c>
      <c r="K16" s="165"/>
      <c r="L16" s="165"/>
      <c r="M16" s="165"/>
      <c r="N16" s="165"/>
      <c r="O16" s="165"/>
    </row>
    <row r="17" spans="1:38" ht="9.75" customHeight="1" x14ac:dyDescent="0.25">
      <c r="J17" s="51"/>
    </row>
    <row r="18" spans="1:38" s="16" customFormat="1" ht="30" customHeight="1" thickBot="1" x14ac:dyDescent="0.3">
      <c r="A18" s="5"/>
      <c r="B18" s="5"/>
      <c r="C18" s="5"/>
      <c r="D18" s="5"/>
      <c r="E18" s="5"/>
      <c r="F18" s="5"/>
      <c r="G18" s="5"/>
      <c r="H18" s="5"/>
      <c r="I18" s="5"/>
      <c r="J18" s="43"/>
      <c r="K18" s="52">
        <f>((C23/2)^2*3.1415-(1.25*(C23-4)/2)^2*3.1415)</f>
        <v>18.407226562500004</v>
      </c>
      <c r="L18" s="43">
        <f>(C23/2)^2*3.1415</f>
        <v>19.634375000000002</v>
      </c>
      <c r="M18" s="43"/>
      <c r="N18" s="43"/>
      <c r="O18" s="43"/>
    </row>
    <row r="19" spans="1:38" s="16" customFormat="1" ht="81" customHeight="1" x14ac:dyDescent="0.3">
      <c r="A19" s="22" t="s">
        <v>0</v>
      </c>
      <c r="B19" s="23" t="s">
        <v>3</v>
      </c>
      <c r="C19" s="23" t="s">
        <v>15</v>
      </c>
      <c r="D19" s="70" t="s">
        <v>121</v>
      </c>
      <c r="E19" s="71" t="s">
        <v>120</v>
      </c>
      <c r="F19" s="56" t="s">
        <v>122</v>
      </c>
      <c r="G19" s="53" t="s">
        <v>120</v>
      </c>
      <c r="H19" s="56" t="s">
        <v>123</v>
      </c>
      <c r="I19" s="54" t="s">
        <v>120</v>
      </c>
      <c r="J19" s="43"/>
      <c r="K19" s="43"/>
      <c r="L19" s="43"/>
      <c r="M19" s="43"/>
      <c r="N19" s="43"/>
      <c r="O19" s="43"/>
    </row>
    <row r="20" spans="1:38" s="16" customFormat="1" ht="16.149999999999999" customHeight="1" x14ac:dyDescent="0.3">
      <c r="A20" s="28" t="s">
        <v>4</v>
      </c>
      <c r="B20" s="29">
        <v>0.7</v>
      </c>
      <c r="C20" s="30">
        <v>2</v>
      </c>
      <c r="D20" s="31">
        <f>(C20/2)^2*3.1415*3.2*(B20/12)*7.48/2</f>
        <v>2.193185866666667</v>
      </c>
      <c r="E20" s="72">
        <f>D20*10/55</f>
        <v>0.39876106666666672</v>
      </c>
      <c r="F20" s="60">
        <f t="shared" ref="F20:F30" si="1">((6+0.25*C20)^2*3.1415*4*(B20/12)*7.48/10)*0.5</f>
        <v>11.582762858333334</v>
      </c>
      <c r="G20" s="72">
        <f>F20*10/55</f>
        <v>2.1059568833333335</v>
      </c>
      <c r="H20" s="60">
        <f t="shared" ref="H20:H30" si="2">((7.5+0.25*C20)^2*3.1415*4*(B20/12)*7.48/14)*0.5</f>
        <v>12.532490666666666</v>
      </c>
      <c r="I20" s="72">
        <f>H20*14/55</f>
        <v>3.1900885333333333</v>
      </c>
      <c r="J20" s="43"/>
      <c r="K20" s="43"/>
      <c r="L20" s="43"/>
      <c r="M20" s="43"/>
      <c r="N20" s="43"/>
      <c r="O20" s="43"/>
      <c r="P20" s="155"/>
      <c r="Q20" s="155"/>
      <c r="R20" s="155"/>
      <c r="S20" s="155"/>
      <c r="T20" s="155"/>
      <c r="U20" s="155"/>
      <c r="V20" s="155"/>
      <c r="W20" s="155"/>
      <c r="X20" s="155"/>
      <c r="Y20" s="155"/>
      <c r="Z20" s="155"/>
      <c r="AA20" s="155"/>
      <c r="AB20" s="155"/>
      <c r="AC20" s="155"/>
      <c r="AD20" s="155"/>
      <c r="AE20" s="155"/>
      <c r="AF20" s="155"/>
      <c r="AG20" s="155"/>
      <c r="AH20" s="155"/>
      <c r="AI20" s="155"/>
      <c r="AJ20" s="67"/>
      <c r="AK20" s="67"/>
      <c r="AL20" s="67"/>
    </row>
    <row r="21" spans="1:38" s="16" customFormat="1" ht="16.149999999999999" customHeight="1" x14ac:dyDescent="0.3">
      <c r="A21" s="28" t="s">
        <v>5</v>
      </c>
      <c r="B21" s="35">
        <v>1.1000000000000001</v>
      </c>
      <c r="C21" s="36">
        <v>3</v>
      </c>
      <c r="D21" s="31">
        <f>(C21/2)^2*3.1415*3.2*(B21/12)*7.48/2</f>
        <v>7.7544786000000032</v>
      </c>
      <c r="E21" s="73">
        <f t="shared" ref="E21:G30" si="3">D21*10/55</f>
        <v>1.4099052000000005</v>
      </c>
      <c r="F21" s="60">
        <f t="shared" si="1"/>
        <v>19.628523956250007</v>
      </c>
      <c r="G21" s="73">
        <f t="shared" si="3"/>
        <v>3.5688225375000013</v>
      </c>
      <c r="H21" s="60">
        <f t="shared" si="2"/>
        <v>20.944015861607145</v>
      </c>
      <c r="I21" s="73">
        <f t="shared" ref="I21:I30" si="4">H21*14/55</f>
        <v>5.3312040375000009</v>
      </c>
      <c r="J21" s="43"/>
      <c r="K21" s="57" t="s">
        <v>44</v>
      </c>
      <c r="L21" s="57" t="s">
        <v>42</v>
      </c>
      <c r="M21" s="57" t="s">
        <v>43</v>
      </c>
      <c r="N21" s="59" t="s">
        <v>45</v>
      </c>
      <c r="O21" s="43"/>
      <c r="P21" s="155"/>
      <c r="Q21" s="155"/>
      <c r="R21" s="155"/>
      <c r="S21" s="155"/>
      <c r="T21" s="155"/>
      <c r="U21" s="155"/>
      <c r="V21" s="155"/>
      <c r="W21" s="155"/>
      <c r="X21" s="155"/>
      <c r="Y21" s="155"/>
      <c r="Z21" s="155"/>
      <c r="AA21" s="155"/>
      <c r="AB21" s="155"/>
      <c r="AC21" s="155"/>
      <c r="AD21" s="155"/>
      <c r="AE21" s="155"/>
      <c r="AF21" s="155"/>
      <c r="AG21" s="155"/>
      <c r="AH21" s="155"/>
      <c r="AI21" s="155"/>
      <c r="AJ21" s="67"/>
      <c r="AK21" s="67"/>
      <c r="AL21" s="67"/>
    </row>
    <row r="22" spans="1:38" s="16" customFormat="1" ht="16.149999999999999" customHeight="1" x14ac:dyDescent="0.3">
      <c r="A22" s="28" t="s">
        <v>6</v>
      </c>
      <c r="B22" s="35">
        <v>1.4</v>
      </c>
      <c r="C22" s="36">
        <v>4</v>
      </c>
      <c r="D22" s="31">
        <f>(C22/2)^2*3.1415*3.2*(B22/12)*7.48/2</f>
        <v>17.545486933333336</v>
      </c>
      <c r="E22" s="73">
        <f t="shared" si="3"/>
        <v>3.1900885333333338</v>
      </c>
      <c r="F22" s="60">
        <f t="shared" si="1"/>
        <v>26.866526866666668</v>
      </c>
      <c r="G22" s="73">
        <f t="shared" si="3"/>
        <v>4.8848230666666668</v>
      </c>
      <c r="H22" s="60">
        <f t="shared" si="2"/>
        <v>28.296014083333336</v>
      </c>
      <c r="I22" s="73">
        <f t="shared" si="4"/>
        <v>7.2026217666666668</v>
      </c>
      <c r="J22" s="43"/>
      <c r="K22" s="57">
        <v>5</v>
      </c>
      <c r="L22" s="58">
        <f t="shared" ref="L22:L27" si="5">(K22/2)^2*3.1415</f>
        <v>19.634375000000002</v>
      </c>
      <c r="M22" s="57">
        <f t="shared" ref="M22:M27" si="6">K22-4</f>
        <v>1</v>
      </c>
      <c r="N22" s="58">
        <f t="shared" ref="N22:N27" si="7">(1.25*M22/2)^2*3.1413</f>
        <v>1.2270703125</v>
      </c>
      <c r="O22" s="43"/>
      <c r="P22" s="155"/>
      <c r="Q22" s="155"/>
      <c r="R22" s="155"/>
      <c r="S22" s="155"/>
      <c r="T22" s="155"/>
      <c r="U22" s="155"/>
      <c r="V22" s="155"/>
      <c r="W22" s="155"/>
      <c r="X22" s="155"/>
      <c r="Y22" s="155"/>
      <c r="Z22" s="155"/>
      <c r="AA22" s="155"/>
      <c r="AB22" s="155"/>
      <c r="AC22" s="155"/>
      <c r="AD22" s="155"/>
      <c r="AE22" s="155"/>
      <c r="AF22" s="155"/>
      <c r="AG22" s="155"/>
      <c r="AH22" s="155"/>
      <c r="AI22" s="155"/>
      <c r="AJ22" s="67"/>
      <c r="AK22" s="67"/>
      <c r="AL22" s="67"/>
    </row>
    <row r="23" spans="1:38" s="16" customFormat="1" ht="16.149999999999999" customHeight="1" x14ac:dyDescent="0.3">
      <c r="A23" s="28" t="s">
        <v>7</v>
      </c>
      <c r="B23" s="35">
        <v>1.8</v>
      </c>
      <c r="C23" s="36">
        <v>5</v>
      </c>
      <c r="D23" s="31">
        <f>4*C23*3.2*(B23/12)*7.48/2</f>
        <v>35.904000000000003</v>
      </c>
      <c r="E23" s="73">
        <f t="shared" si="3"/>
        <v>6.5280000000000005</v>
      </c>
      <c r="F23" s="60">
        <f t="shared" si="1"/>
        <v>37.054071037500009</v>
      </c>
      <c r="G23" s="73">
        <f t="shared" si="3"/>
        <v>6.7371038250000019</v>
      </c>
      <c r="H23" s="60">
        <f t="shared" si="2"/>
        <v>38.552095312500001</v>
      </c>
      <c r="I23" s="73">
        <f t="shared" si="4"/>
        <v>9.8132606249999998</v>
      </c>
      <c r="J23" s="43"/>
      <c r="K23" s="57">
        <v>6</v>
      </c>
      <c r="L23" s="58">
        <f t="shared" si="5"/>
        <v>28.273500000000002</v>
      </c>
      <c r="M23" s="57">
        <f t="shared" si="6"/>
        <v>2</v>
      </c>
      <c r="N23" s="58">
        <f t="shared" si="7"/>
        <v>4.9082812499999999</v>
      </c>
      <c r="O23" s="43"/>
      <c r="P23" s="155"/>
      <c r="Q23" s="155"/>
      <c r="R23" s="155"/>
      <c r="S23" s="155"/>
      <c r="T23" s="155"/>
      <c r="U23" s="155"/>
      <c r="V23" s="155"/>
      <c r="W23" s="155"/>
      <c r="X23" s="155"/>
      <c r="Y23" s="155"/>
      <c r="Z23" s="155"/>
      <c r="AA23" s="155"/>
      <c r="AB23" s="155"/>
      <c r="AC23" s="155"/>
      <c r="AD23" s="155"/>
      <c r="AE23" s="155"/>
      <c r="AF23" s="155"/>
      <c r="AG23" s="155"/>
      <c r="AH23" s="155"/>
      <c r="AI23" s="155"/>
      <c r="AJ23" s="67"/>
      <c r="AK23" s="67"/>
      <c r="AL23" s="67"/>
    </row>
    <row r="24" spans="1:38" s="16" customFormat="1" ht="16.149999999999999" customHeight="1" x14ac:dyDescent="0.3">
      <c r="A24" s="28" t="s">
        <v>8</v>
      </c>
      <c r="B24" s="35">
        <v>1.8</v>
      </c>
      <c r="C24" s="36">
        <v>6</v>
      </c>
      <c r="D24" s="31">
        <f t="shared" ref="D24:D30" si="8">4*C24*3.2*(B24/12)*7.48/2</f>
        <v>43.084800000000008</v>
      </c>
      <c r="E24" s="73">
        <f t="shared" si="3"/>
        <v>7.8336000000000015</v>
      </c>
      <c r="F24" s="60">
        <f t="shared" si="1"/>
        <v>39.653583750000003</v>
      </c>
      <c r="G24" s="73">
        <f t="shared" si="3"/>
        <v>7.2097424999999999</v>
      </c>
      <c r="H24" s="60">
        <f t="shared" si="2"/>
        <v>40.786543285714288</v>
      </c>
      <c r="I24" s="73">
        <f t="shared" si="4"/>
        <v>10.3820292</v>
      </c>
      <c r="J24" s="43"/>
      <c r="K24" s="57">
        <v>7</v>
      </c>
      <c r="L24" s="58">
        <f t="shared" si="5"/>
        <v>38.483375000000002</v>
      </c>
      <c r="M24" s="57">
        <f t="shared" si="6"/>
        <v>3</v>
      </c>
      <c r="N24" s="58">
        <f t="shared" si="7"/>
        <v>11.0436328125</v>
      </c>
      <c r="O24" s="43"/>
      <c r="P24" s="155"/>
      <c r="Q24" s="155"/>
      <c r="R24" s="155"/>
      <c r="S24" s="155"/>
      <c r="T24" s="155"/>
      <c r="U24" s="158"/>
      <c r="V24" s="155"/>
      <c r="W24" s="155"/>
      <c r="X24" s="155"/>
      <c r="Y24" s="155"/>
      <c r="Z24" s="155"/>
      <c r="AA24" s="155"/>
      <c r="AB24" s="155"/>
      <c r="AC24" s="155"/>
      <c r="AD24" s="155"/>
      <c r="AE24" s="155"/>
      <c r="AF24" s="158"/>
      <c r="AG24" s="155"/>
      <c r="AH24" s="155"/>
      <c r="AI24" s="155"/>
      <c r="AJ24" s="67"/>
      <c r="AK24" s="67"/>
      <c r="AL24" s="67"/>
    </row>
    <row r="25" spans="1:38" s="16" customFormat="1" ht="16.149999999999999" customHeight="1" x14ac:dyDescent="0.3">
      <c r="A25" s="28" t="s">
        <v>9</v>
      </c>
      <c r="B25" s="35">
        <v>1.3</v>
      </c>
      <c r="C25" s="36">
        <v>6</v>
      </c>
      <c r="D25" s="31">
        <f t="shared" si="8"/>
        <v>31.116800000000008</v>
      </c>
      <c r="E25" s="73">
        <f t="shared" si="3"/>
        <v>5.6576000000000013</v>
      </c>
      <c r="F25" s="60">
        <f t="shared" si="1"/>
        <v>28.638699375000005</v>
      </c>
      <c r="G25" s="73">
        <f t="shared" si="3"/>
        <v>5.2070362500000007</v>
      </c>
      <c r="H25" s="60">
        <f t="shared" si="2"/>
        <v>29.456947928571431</v>
      </c>
      <c r="I25" s="73">
        <f t="shared" si="4"/>
        <v>7.4981322000000006</v>
      </c>
      <c r="J25" s="43"/>
      <c r="K25" s="57">
        <v>8</v>
      </c>
      <c r="L25" s="58">
        <f t="shared" si="5"/>
        <v>50.264000000000003</v>
      </c>
      <c r="M25" s="57">
        <f t="shared" si="6"/>
        <v>4</v>
      </c>
      <c r="N25" s="58">
        <f t="shared" si="7"/>
        <v>19.633125</v>
      </c>
      <c r="O25" s="43"/>
      <c r="P25" s="155"/>
      <c r="Q25" s="155"/>
      <c r="R25" s="155"/>
      <c r="S25" s="155"/>
      <c r="T25" s="155"/>
      <c r="U25" s="155"/>
      <c r="V25" s="155"/>
      <c r="W25" s="155"/>
      <c r="X25" s="155"/>
      <c r="Y25" s="155"/>
      <c r="Z25" s="155"/>
      <c r="AA25" s="155"/>
      <c r="AB25" s="155"/>
      <c r="AC25" s="155"/>
      <c r="AD25" s="155"/>
      <c r="AE25" s="155"/>
      <c r="AF25" s="155"/>
      <c r="AG25" s="155"/>
      <c r="AH25" s="155"/>
      <c r="AI25" s="155"/>
      <c r="AJ25" s="67"/>
      <c r="AK25" s="67"/>
      <c r="AL25" s="67"/>
    </row>
    <row r="26" spans="1:38" s="16" customFormat="1" ht="16.149999999999999" customHeight="1" x14ac:dyDescent="0.3">
      <c r="A26" s="28" t="s">
        <v>10</v>
      </c>
      <c r="B26" s="35">
        <v>1.6</v>
      </c>
      <c r="C26" s="36">
        <v>7</v>
      </c>
      <c r="D26" s="31">
        <f t="shared" si="8"/>
        <v>44.680533333333337</v>
      </c>
      <c r="E26" s="73">
        <f t="shared" si="3"/>
        <v>8.1237333333333339</v>
      </c>
      <c r="F26" s="60">
        <f t="shared" si="1"/>
        <v>37.636636033333346</v>
      </c>
      <c r="G26" s="73">
        <f t="shared" si="3"/>
        <v>6.8430247333333352</v>
      </c>
      <c r="H26" s="60">
        <f t="shared" si="2"/>
        <v>38.296829738095241</v>
      </c>
      <c r="I26" s="73">
        <f t="shared" si="4"/>
        <v>9.7482839333333331</v>
      </c>
      <c r="J26" s="43"/>
      <c r="K26" s="57">
        <v>9</v>
      </c>
      <c r="L26" s="58">
        <f t="shared" si="5"/>
        <v>63.615375</v>
      </c>
      <c r="M26" s="57">
        <f t="shared" si="6"/>
        <v>5</v>
      </c>
      <c r="N26" s="58">
        <f t="shared" si="7"/>
        <v>30.676757812500004</v>
      </c>
      <c r="O26" s="43"/>
      <c r="P26" s="155"/>
      <c r="Q26" s="155"/>
      <c r="R26" s="155"/>
      <c r="S26" s="155"/>
      <c r="T26" s="155"/>
      <c r="U26" s="155"/>
      <c r="V26" s="155"/>
      <c r="W26" s="155"/>
      <c r="X26" s="155"/>
      <c r="Y26" s="155"/>
      <c r="Z26" s="155"/>
      <c r="AA26" s="155"/>
      <c r="AB26" s="155"/>
      <c r="AC26" s="155"/>
      <c r="AD26" s="155"/>
      <c r="AE26" s="155"/>
      <c r="AF26" s="155"/>
      <c r="AG26" s="155"/>
      <c r="AH26" s="155"/>
      <c r="AI26" s="155"/>
      <c r="AJ26" s="67"/>
      <c r="AK26" s="67"/>
      <c r="AL26" s="67"/>
    </row>
    <row r="27" spans="1:38" s="16" customFormat="1" ht="16.149999999999999" customHeight="1" x14ac:dyDescent="0.3">
      <c r="A27" s="28" t="s">
        <v>11</v>
      </c>
      <c r="B27" s="35">
        <v>1.7</v>
      </c>
      <c r="C27" s="36">
        <v>8</v>
      </c>
      <c r="D27" s="31">
        <f t="shared" si="8"/>
        <v>54.254933333333341</v>
      </c>
      <c r="E27" s="73">
        <f t="shared" si="3"/>
        <v>9.864533333333334</v>
      </c>
      <c r="F27" s="60">
        <f t="shared" si="1"/>
        <v>42.610468266666672</v>
      </c>
      <c r="G27" s="73">
        <f t="shared" si="3"/>
        <v>7.7473578666666674</v>
      </c>
      <c r="H27" s="60">
        <f t="shared" si="2"/>
        <v>42.919584386904759</v>
      </c>
      <c r="I27" s="73">
        <f t="shared" si="4"/>
        <v>10.924985116666665</v>
      </c>
      <c r="J27" s="43"/>
      <c r="K27" s="57">
        <v>10</v>
      </c>
      <c r="L27" s="58">
        <f t="shared" si="5"/>
        <v>78.537500000000009</v>
      </c>
      <c r="M27" s="57">
        <f t="shared" si="6"/>
        <v>6</v>
      </c>
      <c r="N27" s="58">
        <f t="shared" si="7"/>
        <v>44.174531250000001</v>
      </c>
      <c r="O27" s="43"/>
      <c r="P27" s="155"/>
      <c r="Q27" s="155"/>
      <c r="R27" s="155"/>
      <c r="S27" s="155"/>
      <c r="T27" s="155"/>
      <c r="U27" s="155"/>
      <c r="V27" s="155"/>
      <c r="W27" s="155"/>
      <c r="X27" s="155"/>
      <c r="Y27" s="155"/>
      <c r="Z27" s="155"/>
      <c r="AA27" s="155"/>
      <c r="AB27" s="155"/>
      <c r="AC27" s="155"/>
      <c r="AD27" s="155"/>
      <c r="AE27" s="155"/>
      <c r="AF27" s="155"/>
      <c r="AG27" s="155"/>
      <c r="AH27" s="155"/>
      <c r="AI27" s="155"/>
      <c r="AJ27" s="67"/>
      <c r="AK27" s="67"/>
      <c r="AL27" s="67"/>
    </row>
    <row r="28" spans="1:38" s="16" customFormat="1" ht="16.149999999999999" customHeight="1" x14ac:dyDescent="0.3">
      <c r="A28" s="28" t="s">
        <v>12</v>
      </c>
      <c r="B28" s="35">
        <v>1.9</v>
      </c>
      <c r="C28" s="36">
        <v>9</v>
      </c>
      <c r="D28" s="31">
        <f t="shared" si="8"/>
        <v>68.217600000000004</v>
      </c>
      <c r="E28" s="73">
        <f t="shared" si="3"/>
        <v>12.4032</v>
      </c>
      <c r="F28" s="60">
        <f t="shared" si="1"/>
        <v>50.646438356250009</v>
      </c>
      <c r="G28" s="73">
        <f t="shared" si="3"/>
        <v>9.2084433375000021</v>
      </c>
      <c r="H28" s="60">
        <f t="shared" si="2"/>
        <v>50.526848183035725</v>
      </c>
      <c r="I28" s="73">
        <f t="shared" si="4"/>
        <v>12.861379537500003</v>
      </c>
      <c r="J28" s="43"/>
      <c r="L28" s="58"/>
      <c r="M28" s="57"/>
      <c r="N28" s="57"/>
      <c r="O28" s="43"/>
      <c r="P28" s="155"/>
      <c r="Q28" s="155"/>
      <c r="R28" s="155"/>
      <c r="S28" s="155"/>
      <c r="T28" s="155"/>
      <c r="U28" s="155"/>
      <c r="V28" s="155"/>
      <c r="W28" s="155"/>
      <c r="X28" s="155"/>
      <c r="Y28" s="155"/>
      <c r="Z28" s="155"/>
      <c r="AA28" s="155"/>
      <c r="AB28" s="155"/>
      <c r="AC28" s="155"/>
      <c r="AD28" s="155"/>
      <c r="AE28" s="155"/>
      <c r="AF28" s="155"/>
      <c r="AG28" s="155"/>
      <c r="AH28" s="155"/>
      <c r="AI28" s="155"/>
      <c r="AJ28" s="67"/>
      <c r="AK28" s="67"/>
      <c r="AL28" s="67"/>
    </row>
    <row r="29" spans="1:38" s="16" customFormat="1" ht="16.149999999999999" customHeight="1" x14ac:dyDescent="0.3">
      <c r="A29" s="28" t="s">
        <v>13</v>
      </c>
      <c r="B29" s="35">
        <v>2.4</v>
      </c>
      <c r="C29" s="36">
        <v>9</v>
      </c>
      <c r="D29" s="31">
        <f t="shared" si="8"/>
        <v>86.169600000000003</v>
      </c>
      <c r="E29" s="73">
        <f t="shared" si="3"/>
        <v>15.667200000000001</v>
      </c>
      <c r="F29" s="60">
        <f t="shared" si="1"/>
        <v>63.974448449999997</v>
      </c>
      <c r="G29" s="73">
        <f t="shared" si="3"/>
        <v>11.6317179</v>
      </c>
      <c r="H29" s="60">
        <f t="shared" si="2"/>
        <v>63.82338717857143</v>
      </c>
      <c r="I29" s="73">
        <f t="shared" si="4"/>
        <v>16.245953100000001</v>
      </c>
      <c r="J29" s="43"/>
      <c r="L29" s="43"/>
      <c r="M29" s="43"/>
      <c r="N29" s="43"/>
      <c r="O29" s="43"/>
      <c r="P29" s="155"/>
      <c r="Q29" s="155"/>
      <c r="R29" s="155"/>
      <c r="S29" s="155"/>
      <c r="T29" s="155"/>
      <c r="U29" s="155"/>
      <c r="V29" s="155"/>
      <c r="W29" s="155"/>
      <c r="X29" s="155"/>
      <c r="Y29" s="155"/>
      <c r="Z29" s="155"/>
      <c r="AA29" s="155"/>
      <c r="AB29" s="155"/>
      <c r="AC29" s="155"/>
      <c r="AD29" s="155"/>
      <c r="AE29" s="155"/>
      <c r="AF29" s="155"/>
      <c r="AG29" s="155"/>
      <c r="AH29" s="155"/>
      <c r="AI29" s="155"/>
      <c r="AJ29" s="67"/>
      <c r="AK29" s="67"/>
      <c r="AL29" s="67"/>
    </row>
    <row r="30" spans="1:38" ht="16.149999999999999" customHeight="1" thickBot="1" x14ac:dyDescent="0.35">
      <c r="A30" s="28" t="s">
        <v>14</v>
      </c>
      <c r="B30" s="37">
        <v>2.2000000000000002</v>
      </c>
      <c r="C30" s="38">
        <v>10</v>
      </c>
      <c r="D30" s="39">
        <f t="shared" si="8"/>
        <v>87.765333333333345</v>
      </c>
      <c r="E30" s="74">
        <f t="shared" si="3"/>
        <v>15.957333333333334</v>
      </c>
      <c r="F30" s="64">
        <f t="shared" si="1"/>
        <v>62.251230983333343</v>
      </c>
      <c r="G30" s="74">
        <f t="shared" si="3"/>
        <v>11.318405633333336</v>
      </c>
      <c r="H30" s="64">
        <f t="shared" si="2"/>
        <v>61.543480952380968</v>
      </c>
      <c r="I30" s="74">
        <f t="shared" si="4"/>
        <v>15.665613333333338</v>
      </c>
      <c r="K30" s="61">
        <v>0.2</v>
      </c>
      <c r="L30" s="138" t="s">
        <v>116</v>
      </c>
      <c r="N30" s="61"/>
      <c r="P30" s="156"/>
      <c r="Q30" s="156"/>
      <c r="R30" s="156"/>
      <c r="S30" s="156"/>
      <c r="T30" s="156"/>
      <c r="U30" s="156"/>
      <c r="V30" s="156"/>
      <c r="W30" s="156"/>
      <c r="X30" s="156"/>
      <c r="Y30" s="156"/>
      <c r="Z30" s="156"/>
      <c r="AA30" s="156"/>
      <c r="AB30" s="156"/>
      <c r="AC30" s="156"/>
      <c r="AD30" s="156"/>
      <c r="AE30" s="156"/>
      <c r="AF30" s="156"/>
      <c r="AG30" s="156"/>
      <c r="AH30" s="156"/>
      <c r="AI30" s="156"/>
      <c r="AJ30" s="66"/>
      <c r="AK30" s="66"/>
      <c r="AL30" s="66"/>
    </row>
    <row r="31" spans="1:38" ht="16.149999999999999" customHeight="1" x14ac:dyDescent="0.3">
      <c r="A31" s="20" t="s">
        <v>41</v>
      </c>
      <c r="B31" s="21"/>
      <c r="C31" s="16"/>
      <c r="D31" s="16"/>
      <c r="E31" s="16"/>
      <c r="F31" s="16"/>
      <c r="G31" s="16"/>
      <c r="H31" s="16"/>
      <c r="I31" s="16"/>
      <c r="K31" s="60">
        <f>K30*20*22/12*7.48</f>
        <v>54.853333333333332</v>
      </c>
      <c r="L31" s="138" t="s">
        <v>117</v>
      </c>
      <c r="P31" s="156"/>
      <c r="Q31" s="156"/>
      <c r="R31" s="156"/>
      <c r="S31" s="156"/>
      <c r="T31" s="156"/>
      <c r="U31" s="156"/>
      <c r="V31" s="156"/>
      <c r="W31" s="156"/>
      <c r="X31" s="156"/>
      <c r="Y31" s="156"/>
      <c r="Z31" s="156"/>
      <c r="AA31" s="156"/>
      <c r="AB31" s="156"/>
      <c r="AC31" s="156"/>
      <c r="AD31" s="156"/>
      <c r="AE31" s="156"/>
      <c r="AF31" s="156"/>
      <c r="AG31" s="156"/>
      <c r="AH31" s="156"/>
      <c r="AI31" s="156"/>
      <c r="AJ31" s="66"/>
      <c r="AK31" s="66"/>
      <c r="AL31" s="66"/>
    </row>
    <row r="32" spans="1:38" ht="16.149999999999999" customHeight="1" x14ac:dyDescent="0.25">
      <c r="A32" s="16" t="s">
        <v>124</v>
      </c>
      <c r="B32" s="16"/>
      <c r="C32" s="16"/>
      <c r="D32" s="16"/>
      <c r="E32" s="16"/>
      <c r="F32" s="16"/>
      <c r="G32" s="16"/>
      <c r="H32" s="16"/>
      <c r="P32" s="156"/>
      <c r="Q32" s="156"/>
      <c r="R32" s="156"/>
      <c r="S32" s="156"/>
      <c r="T32" s="156"/>
      <c r="U32" s="156"/>
      <c r="V32" s="156"/>
      <c r="W32" s="156"/>
      <c r="X32" s="156"/>
      <c r="Y32" s="156"/>
      <c r="Z32" s="156"/>
      <c r="AA32" s="156"/>
      <c r="AB32" s="156"/>
      <c r="AC32" s="156"/>
      <c r="AD32" s="156"/>
      <c r="AE32" s="156"/>
      <c r="AF32" s="156"/>
      <c r="AG32" s="156"/>
      <c r="AH32" s="156"/>
      <c r="AI32" s="156"/>
      <c r="AJ32" s="66"/>
      <c r="AK32" s="66"/>
      <c r="AL32" s="66"/>
    </row>
    <row r="33" spans="1:38" ht="16.149999999999999" customHeight="1" x14ac:dyDescent="0.25">
      <c r="A33" s="16" t="s">
        <v>40</v>
      </c>
      <c r="B33" s="16"/>
      <c r="C33" s="16"/>
      <c r="D33" s="16"/>
      <c r="E33" s="16"/>
      <c r="F33" s="16"/>
      <c r="G33" s="16"/>
      <c r="H33" s="16"/>
      <c r="P33" s="156"/>
      <c r="Q33" s="156"/>
      <c r="R33" s="156"/>
      <c r="S33" s="156"/>
      <c r="T33" s="156"/>
      <c r="U33" s="156"/>
      <c r="V33" s="156"/>
      <c r="W33" s="156"/>
      <c r="X33" s="156"/>
      <c r="Y33" s="156"/>
      <c r="Z33" s="156"/>
      <c r="AA33" s="156"/>
      <c r="AB33" s="156"/>
      <c r="AC33" s="156"/>
      <c r="AD33" s="156"/>
      <c r="AE33" s="156"/>
      <c r="AF33" s="156"/>
      <c r="AG33" s="156"/>
      <c r="AH33" s="156"/>
      <c r="AI33" s="156"/>
      <c r="AJ33" s="66"/>
      <c r="AK33" s="66"/>
      <c r="AL33" s="66"/>
    </row>
    <row r="34" spans="1:38" ht="16.149999999999999" customHeight="1" x14ac:dyDescent="0.25">
      <c r="A34" s="16"/>
      <c r="B34" s="16"/>
      <c r="C34" s="16"/>
      <c r="D34" s="16"/>
      <c r="E34" s="16"/>
      <c r="F34" s="16"/>
      <c r="G34" s="16"/>
      <c r="H34" s="16"/>
      <c r="L34" s="43">
        <f>0.25/0.3</f>
        <v>0.83333333333333337</v>
      </c>
      <c r="P34" s="156"/>
      <c r="Q34" s="156"/>
      <c r="R34" s="156"/>
      <c r="S34" s="156"/>
      <c r="T34" s="156"/>
      <c r="U34" s="158"/>
      <c r="V34" s="156"/>
      <c r="W34" s="156"/>
      <c r="X34" s="156"/>
      <c r="Y34" s="156"/>
      <c r="Z34" s="156"/>
      <c r="AA34" s="156"/>
      <c r="AB34" s="156"/>
      <c r="AC34" s="156"/>
      <c r="AD34" s="156"/>
      <c r="AE34" s="156"/>
      <c r="AF34" s="158"/>
      <c r="AG34" s="156"/>
      <c r="AH34" s="156"/>
      <c r="AI34" s="156"/>
      <c r="AJ34" s="66"/>
      <c r="AK34" s="66"/>
      <c r="AL34" s="66"/>
    </row>
    <row r="35" spans="1:38" ht="16.149999999999999" customHeight="1" x14ac:dyDescent="0.25">
      <c r="C35" s="16"/>
      <c r="D35" s="16"/>
      <c r="E35" s="16"/>
      <c r="F35" s="16"/>
      <c r="J35" s="51"/>
      <c r="P35" s="156"/>
      <c r="Q35" s="156"/>
      <c r="R35" s="156"/>
      <c r="S35" s="156"/>
      <c r="T35" s="156"/>
      <c r="U35" s="156"/>
      <c r="V35" s="156"/>
      <c r="W35" s="156"/>
      <c r="X35" s="156"/>
      <c r="Y35" s="156"/>
      <c r="Z35" s="156"/>
      <c r="AA35" s="156"/>
      <c r="AB35" s="156"/>
      <c r="AC35" s="156"/>
      <c r="AD35" s="156"/>
      <c r="AE35" s="156"/>
      <c r="AF35" s="156"/>
      <c r="AG35" s="156"/>
      <c r="AH35" s="156"/>
      <c r="AI35" s="156"/>
      <c r="AJ35" s="66"/>
      <c r="AK35" s="66"/>
      <c r="AL35" s="66"/>
    </row>
    <row r="36" spans="1:38" s="16" customFormat="1" ht="16.149999999999999" customHeight="1" x14ac:dyDescent="0.25">
      <c r="A36" s="5"/>
      <c r="B36" s="5"/>
      <c r="G36" s="5"/>
      <c r="H36" s="5"/>
      <c r="I36" s="5"/>
      <c r="J36" s="43"/>
      <c r="K36" s="52"/>
      <c r="L36" s="43"/>
      <c r="M36" s="43"/>
      <c r="N36" s="43"/>
      <c r="O36" s="43"/>
      <c r="P36" s="155"/>
      <c r="Q36" s="155"/>
      <c r="R36" s="155"/>
      <c r="S36" s="155"/>
      <c r="T36" s="155"/>
      <c r="U36" s="155"/>
      <c r="V36" s="155"/>
      <c r="W36" s="155"/>
      <c r="X36" s="155"/>
      <c r="Y36" s="155"/>
      <c r="Z36" s="155"/>
      <c r="AA36" s="155"/>
      <c r="AB36" s="155"/>
      <c r="AC36" s="155"/>
      <c r="AD36" s="155"/>
      <c r="AE36" s="155"/>
      <c r="AF36" s="155"/>
      <c r="AG36" s="155"/>
      <c r="AH36" s="155"/>
      <c r="AI36" s="155"/>
      <c r="AJ36" s="67"/>
      <c r="AK36" s="67"/>
      <c r="AL36" s="67"/>
    </row>
    <row r="37" spans="1:38" ht="16.149999999999999" customHeight="1" x14ac:dyDescent="0.25">
      <c r="C37" s="16"/>
      <c r="D37" s="16"/>
      <c r="E37" s="16"/>
      <c r="F37" s="16"/>
      <c r="P37" s="156"/>
      <c r="Q37" s="156"/>
      <c r="R37" s="156"/>
      <c r="S37" s="156"/>
      <c r="T37" s="156"/>
      <c r="U37" s="156"/>
      <c r="V37" s="156"/>
      <c r="W37" s="156"/>
      <c r="X37" s="156"/>
      <c r="Y37" s="156"/>
      <c r="Z37" s="156"/>
      <c r="AA37" s="156"/>
      <c r="AB37" s="156"/>
      <c r="AC37" s="156"/>
      <c r="AD37" s="156"/>
      <c r="AE37" s="156"/>
      <c r="AF37" s="156"/>
      <c r="AG37" s="156"/>
      <c r="AH37" s="156"/>
      <c r="AI37" s="156"/>
      <c r="AJ37" s="66"/>
      <c r="AK37" s="66"/>
      <c r="AL37" s="66"/>
    </row>
    <row r="38" spans="1:38" ht="16.149999999999999" customHeight="1" x14ac:dyDescent="0.25">
      <c r="C38" s="16"/>
      <c r="D38" s="16"/>
      <c r="E38" s="16"/>
      <c r="F38" s="16"/>
      <c r="P38" s="156"/>
      <c r="Q38" s="156"/>
      <c r="R38" s="156"/>
      <c r="S38" s="156"/>
      <c r="T38" s="156"/>
      <c r="U38" s="156"/>
      <c r="V38" s="156"/>
      <c r="W38" s="156"/>
      <c r="X38" s="156"/>
      <c r="Y38" s="156"/>
      <c r="Z38" s="156"/>
      <c r="AA38" s="156"/>
      <c r="AB38" s="156"/>
      <c r="AC38" s="156"/>
      <c r="AD38" s="156"/>
      <c r="AE38" s="156"/>
      <c r="AF38" s="156"/>
      <c r="AG38" s="156"/>
      <c r="AH38" s="156"/>
      <c r="AI38" s="156"/>
      <c r="AJ38" s="66"/>
      <c r="AK38" s="66"/>
      <c r="AL38" s="66"/>
    </row>
    <row r="39" spans="1:38" ht="16.149999999999999" customHeight="1" x14ac:dyDescent="0.25">
      <c r="C39" s="16"/>
      <c r="D39" s="16"/>
      <c r="E39" s="16"/>
      <c r="F39" s="16"/>
      <c r="P39" s="156"/>
      <c r="Q39" s="156"/>
      <c r="R39" s="156"/>
      <c r="S39" s="156"/>
      <c r="T39" s="156"/>
      <c r="U39" s="156"/>
      <c r="V39" s="156"/>
      <c r="W39" s="156"/>
      <c r="X39" s="156"/>
      <c r="Y39" s="156"/>
      <c r="Z39" s="156"/>
      <c r="AA39" s="156"/>
      <c r="AB39" s="156"/>
      <c r="AC39" s="156"/>
      <c r="AD39" s="156"/>
      <c r="AE39" s="156"/>
      <c r="AF39" s="156"/>
      <c r="AG39" s="156"/>
      <c r="AH39" s="156"/>
      <c r="AI39" s="156"/>
      <c r="AJ39" s="66"/>
      <c r="AK39" s="66"/>
      <c r="AL39" s="66"/>
    </row>
    <row r="40" spans="1:38" ht="15.75" customHeight="1" x14ac:dyDescent="0.25">
      <c r="C40" s="16"/>
      <c r="D40" s="16"/>
      <c r="E40" s="16"/>
      <c r="F40" s="16"/>
      <c r="P40" s="157"/>
      <c r="Q40" s="157"/>
      <c r="R40" s="157"/>
      <c r="S40" s="157"/>
      <c r="T40" s="157"/>
      <c r="U40" s="157"/>
      <c r="V40" s="157"/>
      <c r="W40" s="157"/>
      <c r="X40" s="157"/>
      <c r="Y40" s="157"/>
      <c r="Z40" s="157"/>
      <c r="AA40" s="157"/>
      <c r="AB40" s="157"/>
      <c r="AC40" s="157"/>
      <c r="AD40" s="157"/>
      <c r="AE40" s="157"/>
      <c r="AF40" s="157"/>
      <c r="AG40" s="157"/>
      <c r="AH40" s="157"/>
      <c r="AI40" s="157"/>
    </row>
    <row r="41" spans="1:38" x14ac:dyDescent="0.25">
      <c r="C41" s="16"/>
      <c r="D41" s="16"/>
      <c r="E41" s="16"/>
      <c r="F41" s="16"/>
    </row>
    <row r="42" spans="1:38" x14ac:dyDescent="0.25">
      <c r="C42" s="16"/>
      <c r="D42" s="16"/>
      <c r="E42" s="16"/>
      <c r="F42" s="16"/>
    </row>
    <row r="43" spans="1:38" x14ac:dyDescent="0.25">
      <c r="C43" s="16"/>
      <c r="D43" s="16"/>
      <c r="E43" s="16"/>
      <c r="F43" s="16"/>
    </row>
    <row r="44" spans="1:38" x14ac:dyDescent="0.25">
      <c r="C44" s="16"/>
      <c r="D44" s="16"/>
      <c r="E44" s="16"/>
      <c r="F44" s="16"/>
    </row>
    <row r="45" spans="1:38" x14ac:dyDescent="0.25">
      <c r="C45" s="16"/>
      <c r="D45" s="16"/>
      <c r="E45" s="16"/>
      <c r="F45" s="16"/>
    </row>
    <row r="46" spans="1:38" x14ac:dyDescent="0.25">
      <c r="C46" s="16"/>
      <c r="D46" s="16"/>
      <c r="E46" s="16"/>
      <c r="F46" s="16"/>
    </row>
    <row r="47" spans="1:38" x14ac:dyDescent="0.25">
      <c r="C47" s="16"/>
      <c r="D47" s="16"/>
      <c r="E47" s="16"/>
      <c r="F47" s="16"/>
    </row>
    <row r="48" spans="1:38" x14ac:dyDescent="0.25">
      <c r="C48" s="16"/>
      <c r="D48" s="16"/>
      <c r="E48" s="16"/>
      <c r="F48" s="16"/>
    </row>
    <row r="49" spans="3:6" x14ac:dyDescent="0.25">
      <c r="C49" s="16"/>
      <c r="D49" s="16"/>
      <c r="E49" s="16"/>
      <c r="F49" s="16"/>
    </row>
    <row r="50" spans="3:6" x14ac:dyDescent="0.25">
      <c r="C50" s="16"/>
      <c r="D50" s="16"/>
      <c r="E50" s="16"/>
      <c r="F50" s="16"/>
    </row>
    <row r="51" spans="3:6" x14ac:dyDescent="0.25">
      <c r="C51" s="16"/>
      <c r="D51" s="16"/>
      <c r="E51" s="16"/>
      <c r="F51" s="16"/>
    </row>
    <row r="52" spans="3:6" x14ac:dyDescent="0.25">
      <c r="C52" s="16"/>
      <c r="D52" s="16"/>
      <c r="E52" s="16"/>
      <c r="F52" s="16"/>
    </row>
    <row r="53" spans="3:6" x14ac:dyDescent="0.25">
      <c r="C53" s="16"/>
      <c r="D53" s="16"/>
      <c r="E53" s="16"/>
      <c r="F53" s="16"/>
    </row>
    <row r="54" spans="3:6" x14ac:dyDescent="0.25">
      <c r="C54" s="16"/>
      <c r="D54" s="16"/>
      <c r="E54" s="16"/>
      <c r="F54" s="16"/>
    </row>
    <row r="55" spans="3:6" x14ac:dyDescent="0.25">
      <c r="C55" s="16"/>
      <c r="D55" s="16"/>
      <c r="E55" s="16"/>
      <c r="F55" s="16"/>
    </row>
  </sheetData>
  <mergeCells count="1">
    <mergeCell ref="J16:O16"/>
  </mergeCells>
  <phoneticPr fontId="7" type="noConversion"/>
  <pageMargins left="0.75" right="0.75" top="1" bottom="1" header="0.5" footer="0.5"/>
  <pageSetup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8D590-A974-42D6-B3CF-0A76B402E4A8}">
  <dimension ref="A3:AI55"/>
  <sheetViews>
    <sheetView showGridLines="0" topLeftCell="A15" zoomScale="90" zoomScaleNormal="90" workbookViewId="0">
      <selection activeCell="D23" sqref="D23"/>
    </sheetView>
  </sheetViews>
  <sheetFormatPr defaultColWidth="9.1796875" defaultRowHeight="12.5" x14ac:dyDescent="0.25"/>
  <cols>
    <col min="1" max="1" width="16.1796875" style="6" customWidth="1"/>
    <col min="2" max="9" width="9.7265625" style="6" customWidth="1"/>
    <col min="10" max="10" width="16.7265625" style="43" customWidth="1"/>
    <col min="11" max="14" width="13.26953125" style="43" customWidth="1"/>
    <col min="15" max="15" width="11.54296875" style="43" customWidth="1"/>
    <col min="16" max="35" width="3" style="6" customWidth="1"/>
    <col min="36" max="16384" width="9.1796875" style="6"/>
  </cols>
  <sheetData>
    <row r="3" spans="2:15" ht="13" thickBot="1" x14ac:dyDescent="0.3"/>
    <row r="4" spans="2:15" s="7" customFormat="1" ht="66" customHeight="1" x14ac:dyDescent="0.3">
      <c r="J4" s="44" t="s">
        <v>0</v>
      </c>
      <c r="K4" s="44" t="s">
        <v>1</v>
      </c>
      <c r="L4" s="44" t="s">
        <v>32</v>
      </c>
      <c r="M4" s="44" t="s">
        <v>31</v>
      </c>
      <c r="N4" s="44" t="s">
        <v>15</v>
      </c>
      <c r="O4" s="44" t="s">
        <v>33</v>
      </c>
    </row>
    <row r="5" spans="2:15" ht="15" customHeight="1" x14ac:dyDescent="0.3">
      <c r="B5" s="9"/>
      <c r="C5" s="9"/>
      <c r="D5" s="9"/>
      <c r="E5" s="9"/>
      <c r="F5" s="9"/>
      <c r="G5" s="9"/>
      <c r="H5" s="9"/>
      <c r="J5" s="45" t="s">
        <v>4</v>
      </c>
      <c r="K5" s="46">
        <v>1.2</v>
      </c>
      <c r="L5" s="46">
        <v>0.5</v>
      </c>
      <c r="M5" s="46">
        <v>0.7</v>
      </c>
      <c r="N5" s="46">
        <v>2</v>
      </c>
      <c r="O5" s="47">
        <f t="shared" ref="O5:O15" si="0">N5^2*3.1415/4*3.2*M5/12*7.48</f>
        <v>4.3863717333333341</v>
      </c>
    </row>
    <row r="6" spans="2:15" ht="15" customHeight="1" x14ac:dyDescent="0.3">
      <c r="B6" s="9"/>
      <c r="C6" s="9"/>
      <c r="D6" s="9"/>
      <c r="E6" s="9"/>
      <c r="F6" s="9"/>
      <c r="G6" s="9"/>
      <c r="H6" s="9"/>
      <c r="J6" s="45" t="s">
        <v>5</v>
      </c>
      <c r="K6" s="46">
        <v>1.9</v>
      </c>
      <c r="L6" s="46">
        <v>0.8</v>
      </c>
      <c r="M6" s="46">
        <v>1.1000000000000001</v>
      </c>
      <c r="N6" s="46">
        <v>3</v>
      </c>
      <c r="O6" s="47">
        <f t="shared" si="0"/>
        <v>15.508957200000003</v>
      </c>
    </row>
    <row r="7" spans="2:15" ht="15" customHeight="1" x14ac:dyDescent="0.3">
      <c r="B7" s="9"/>
      <c r="C7" s="9"/>
      <c r="D7" s="9"/>
      <c r="E7" s="9"/>
      <c r="F7" s="9"/>
      <c r="G7" s="9"/>
      <c r="H7" s="9"/>
      <c r="J7" s="45" t="s">
        <v>6</v>
      </c>
      <c r="K7" s="46">
        <v>2.5</v>
      </c>
      <c r="L7" s="46">
        <v>1.1000000000000001</v>
      </c>
      <c r="M7" s="46">
        <v>1.4</v>
      </c>
      <c r="N7" s="46">
        <v>4</v>
      </c>
      <c r="O7" s="47">
        <f t="shared" si="0"/>
        <v>35.090973866666673</v>
      </c>
    </row>
    <row r="8" spans="2:15" ht="15" customHeight="1" x14ac:dyDescent="0.3">
      <c r="B8" s="9"/>
      <c r="C8" s="9"/>
      <c r="D8" s="9"/>
      <c r="E8" s="9"/>
      <c r="F8" s="9"/>
      <c r="G8" s="9"/>
      <c r="H8" s="9"/>
      <c r="J8" s="45" t="s">
        <v>7</v>
      </c>
      <c r="K8" s="46">
        <v>3.2</v>
      </c>
      <c r="L8" s="46">
        <v>1.4</v>
      </c>
      <c r="M8" s="46">
        <v>1.8</v>
      </c>
      <c r="N8" s="46">
        <v>5</v>
      </c>
      <c r="O8" s="47">
        <f t="shared" si="0"/>
        <v>70.495260000000016</v>
      </c>
    </row>
    <row r="9" spans="2:15" ht="15" customHeight="1" x14ac:dyDescent="0.3">
      <c r="B9" s="9"/>
      <c r="C9" s="9"/>
      <c r="D9" s="9"/>
      <c r="E9" s="9"/>
      <c r="F9" s="9"/>
      <c r="G9" s="9"/>
      <c r="H9" s="9"/>
      <c r="J9" s="45" t="s">
        <v>8</v>
      </c>
      <c r="K9" s="46">
        <v>3.6</v>
      </c>
      <c r="L9" s="46">
        <v>1.8</v>
      </c>
      <c r="M9" s="46">
        <v>1.8</v>
      </c>
      <c r="N9" s="46">
        <v>6</v>
      </c>
      <c r="O9" s="47">
        <f t="shared" si="0"/>
        <v>101.51317440000001</v>
      </c>
    </row>
    <row r="10" spans="2:15" ht="15" customHeight="1" x14ac:dyDescent="0.3">
      <c r="B10" s="9"/>
      <c r="C10" s="9"/>
      <c r="D10" s="9"/>
      <c r="E10" s="9"/>
      <c r="F10" s="9"/>
      <c r="G10" s="9"/>
      <c r="H10" s="9"/>
      <c r="J10" s="45" t="s">
        <v>9</v>
      </c>
      <c r="K10" s="46">
        <v>3.5</v>
      </c>
      <c r="L10" s="46">
        <v>2.2000000000000002</v>
      </c>
      <c r="M10" s="46">
        <v>1.3</v>
      </c>
      <c r="N10" s="46">
        <v>7</v>
      </c>
      <c r="O10" s="47">
        <f t="shared" si="0"/>
        <v>99.789956933333357</v>
      </c>
    </row>
    <row r="11" spans="2:15" ht="15" customHeight="1" x14ac:dyDescent="0.3">
      <c r="B11" s="9"/>
      <c r="C11" s="9"/>
      <c r="D11" s="9"/>
      <c r="E11" s="9"/>
      <c r="F11" s="9"/>
      <c r="G11" s="9"/>
      <c r="H11" s="9"/>
      <c r="J11" s="45" t="s">
        <v>10</v>
      </c>
      <c r="K11" s="46">
        <v>3.4</v>
      </c>
      <c r="L11" s="46">
        <v>1.8</v>
      </c>
      <c r="M11" s="46">
        <v>1.6</v>
      </c>
      <c r="N11" s="46">
        <v>7</v>
      </c>
      <c r="O11" s="47">
        <f t="shared" si="0"/>
        <v>122.81840853333335</v>
      </c>
    </row>
    <row r="12" spans="2:15" ht="15" customHeight="1" x14ac:dyDescent="0.3">
      <c r="B12" s="9"/>
      <c r="C12" s="9"/>
      <c r="D12" s="9"/>
      <c r="E12" s="9"/>
      <c r="F12" s="9"/>
      <c r="G12" s="9"/>
      <c r="H12" s="9"/>
      <c r="J12" s="45" t="s">
        <v>11</v>
      </c>
      <c r="K12" s="46">
        <v>3.8</v>
      </c>
      <c r="L12" s="46">
        <v>2.2000000000000002</v>
      </c>
      <c r="M12" s="46">
        <v>1.7</v>
      </c>
      <c r="N12" s="46">
        <v>8</v>
      </c>
      <c r="O12" s="47">
        <f t="shared" si="0"/>
        <v>170.44187306666672</v>
      </c>
    </row>
    <row r="13" spans="2:15" ht="15" customHeight="1" x14ac:dyDescent="0.3">
      <c r="B13" s="9"/>
      <c r="C13" s="9"/>
      <c r="D13" s="9"/>
      <c r="E13" s="9"/>
      <c r="F13" s="9"/>
      <c r="G13" s="9"/>
      <c r="H13" s="9"/>
      <c r="J13" s="45" t="s">
        <v>12</v>
      </c>
      <c r="K13" s="46">
        <v>4.3</v>
      </c>
      <c r="L13" s="46">
        <v>2.4</v>
      </c>
      <c r="M13" s="46">
        <v>1.9</v>
      </c>
      <c r="N13" s="46">
        <v>9</v>
      </c>
      <c r="O13" s="47">
        <f t="shared" si="0"/>
        <v>241.09378920000003</v>
      </c>
    </row>
    <row r="14" spans="2:15" ht="15" customHeight="1" x14ac:dyDescent="0.3">
      <c r="B14" s="9"/>
      <c r="C14" s="9"/>
      <c r="D14" s="9"/>
      <c r="E14" s="9"/>
      <c r="F14" s="9"/>
      <c r="G14" s="9"/>
      <c r="H14" s="9"/>
      <c r="J14" s="45" t="s">
        <v>13</v>
      </c>
      <c r="K14" s="46">
        <v>4.8</v>
      </c>
      <c r="L14" s="46">
        <v>2.4</v>
      </c>
      <c r="M14" s="46">
        <v>2.4</v>
      </c>
      <c r="N14" s="46">
        <v>9</v>
      </c>
      <c r="O14" s="47">
        <f t="shared" si="0"/>
        <v>304.53952320000008</v>
      </c>
    </row>
    <row r="15" spans="2:15" ht="15" customHeight="1" thickBot="1" x14ac:dyDescent="0.35">
      <c r="B15" s="9"/>
      <c r="C15" s="9"/>
      <c r="D15" s="9"/>
      <c r="E15" s="9"/>
      <c r="F15" s="9"/>
      <c r="G15" s="9"/>
      <c r="H15" s="9"/>
      <c r="J15" s="48" t="s">
        <v>14</v>
      </c>
      <c r="K15" s="49">
        <v>4.8</v>
      </c>
      <c r="L15" s="49">
        <v>2.6</v>
      </c>
      <c r="M15" s="49">
        <v>2.2000000000000002</v>
      </c>
      <c r="N15" s="49">
        <v>10</v>
      </c>
      <c r="O15" s="50">
        <f t="shared" si="0"/>
        <v>344.64349333333342</v>
      </c>
    </row>
    <row r="16" spans="2:15" ht="78.75" customHeight="1" x14ac:dyDescent="0.25">
      <c r="J16" s="165" t="s">
        <v>47</v>
      </c>
      <c r="K16" s="165"/>
      <c r="L16" s="165"/>
      <c r="M16" s="165"/>
      <c r="N16" s="165"/>
      <c r="O16" s="165"/>
    </row>
    <row r="17" spans="1:35" ht="15.75" customHeight="1" x14ac:dyDescent="0.25">
      <c r="J17" s="51"/>
    </row>
    <row r="18" spans="1:35" s="16" customFormat="1" ht="30" customHeight="1" thickBot="1" x14ac:dyDescent="0.3">
      <c r="A18" s="5"/>
      <c r="B18" s="5"/>
      <c r="C18" s="5"/>
      <c r="D18" s="5"/>
      <c r="E18" s="5"/>
      <c r="F18" s="5"/>
      <c r="G18" s="5"/>
      <c r="H18" s="5"/>
      <c r="I18" s="5"/>
      <c r="J18" s="43"/>
      <c r="K18" s="52">
        <f>((C23/2)^2*3.1415-(1.25*(C23-4)/2)^2*3.1415)</f>
        <v>18.407226562500004</v>
      </c>
      <c r="L18" s="43">
        <f>(C23/2)^2*3.1415</f>
        <v>19.634375000000002</v>
      </c>
      <c r="M18" s="43"/>
      <c r="N18" s="43"/>
      <c r="O18" s="43"/>
    </row>
    <row r="19" spans="1:35" s="16" customFormat="1" ht="81" customHeight="1" x14ac:dyDescent="0.3">
      <c r="A19" s="22" t="s">
        <v>0</v>
      </c>
      <c r="B19" s="23" t="s">
        <v>3</v>
      </c>
      <c r="C19" s="23" t="s">
        <v>15</v>
      </c>
      <c r="D19" s="70" t="s">
        <v>121</v>
      </c>
      <c r="E19" s="71" t="s">
        <v>120</v>
      </c>
      <c r="F19" s="56" t="s">
        <v>122</v>
      </c>
      <c r="G19" s="53" t="s">
        <v>120</v>
      </c>
      <c r="H19" s="56" t="s">
        <v>123</v>
      </c>
      <c r="I19" s="54" t="s">
        <v>120</v>
      </c>
      <c r="J19" s="43"/>
      <c r="K19" s="43"/>
      <c r="L19" s="43"/>
      <c r="M19" s="43"/>
      <c r="N19" s="43"/>
      <c r="O19" s="43"/>
    </row>
    <row r="20" spans="1:35" s="16" customFormat="1" ht="15.75" customHeight="1" x14ac:dyDescent="0.3">
      <c r="A20" s="28" t="s">
        <v>4</v>
      </c>
      <c r="B20" s="29">
        <v>0.7</v>
      </c>
      <c r="C20" s="30">
        <v>2</v>
      </c>
      <c r="D20" s="31">
        <f>(C20/2)^2*3.1415*3.2*(B20/12)*7.48/2</f>
        <v>2.193185866666667</v>
      </c>
      <c r="E20" s="32">
        <f>D20*10/50</f>
        <v>0.43863717333333341</v>
      </c>
      <c r="F20" s="60">
        <f t="shared" ref="F20:F30" si="1">((6+0.25*C20)^2*3.1415*4*(B20/12)*7.48/10)*0.5</f>
        <v>11.582762858333334</v>
      </c>
      <c r="G20" s="32">
        <f>F20*10/50</f>
        <v>2.3165525716666666</v>
      </c>
      <c r="H20" s="60">
        <f t="shared" ref="H20:H30" si="2">((7.5+0.25*C20)^2*3.1415*4*(B20/12)*7.48/14)*0.5</f>
        <v>12.532490666666666</v>
      </c>
      <c r="I20" s="34">
        <f>H20*14/50</f>
        <v>3.5090973866666668</v>
      </c>
      <c r="J20" s="43"/>
      <c r="K20" s="43"/>
      <c r="L20" s="43"/>
      <c r="M20" s="43"/>
      <c r="N20" s="43"/>
      <c r="O20" s="43"/>
      <c r="P20" s="67"/>
      <c r="Q20" s="67"/>
      <c r="R20" s="67"/>
      <c r="S20" s="68"/>
      <c r="T20" s="67"/>
      <c r="U20" s="67"/>
      <c r="V20" s="67"/>
      <c r="W20" s="68"/>
      <c r="X20" s="67"/>
      <c r="Y20" s="67"/>
      <c r="Z20" s="67"/>
      <c r="AA20" s="68"/>
      <c r="AB20" s="67"/>
      <c r="AC20" s="67"/>
      <c r="AD20" s="67"/>
      <c r="AE20" s="68"/>
      <c r="AF20" s="67"/>
      <c r="AG20" s="67"/>
      <c r="AH20" s="67"/>
      <c r="AI20" s="68"/>
    </row>
    <row r="21" spans="1:35" s="16" customFormat="1" ht="15.75" customHeight="1" x14ac:dyDescent="0.3">
      <c r="A21" s="28" t="s">
        <v>5</v>
      </c>
      <c r="B21" s="35">
        <v>1.1000000000000001</v>
      </c>
      <c r="C21" s="36">
        <v>3</v>
      </c>
      <c r="D21" s="31">
        <f>(C21/2)^2*3.1415*3.2*(B21/12)*7.48/2</f>
        <v>7.7544786000000032</v>
      </c>
      <c r="E21" s="32">
        <f t="shared" ref="E21:G30" si="3">D21*10/50</f>
        <v>1.5508957200000006</v>
      </c>
      <c r="F21" s="60">
        <f t="shared" si="1"/>
        <v>19.628523956250007</v>
      </c>
      <c r="G21" s="32">
        <f t="shared" si="3"/>
        <v>3.9257047912500012</v>
      </c>
      <c r="H21" s="60">
        <f t="shared" si="2"/>
        <v>20.944015861607145</v>
      </c>
      <c r="I21" s="34">
        <f t="shared" ref="I21:I30" si="4">H21*14/50</f>
        <v>5.8643244412500009</v>
      </c>
      <c r="J21" s="43"/>
      <c r="K21" s="57" t="s">
        <v>44</v>
      </c>
      <c r="L21" s="57" t="s">
        <v>42</v>
      </c>
      <c r="M21" s="57" t="s">
        <v>43</v>
      </c>
      <c r="N21" s="59" t="s">
        <v>45</v>
      </c>
      <c r="O21" s="43"/>
      <c r="P21" s="67"/>
      <c r="Q21" s="67"/>
      <c r="R21" s="67"/>
      <c r="S21" s="68"/>
      <c r="T21" s="67"/>
      <c r="U21" s="67"/>
      <c r="V21" s="67"/>
      <c r="W21" s="68"/>
      <c r="X21" s="67"/>
      <c r="Y21" s="67"/>
      <c r="Z21" s="67"/>
      <c r="AA21" s="68"/>
      <c r="AB21" s="67"/>
      <c r="AC21" s="67"/>
      <c r="AD21" s="67"/>
      <c r="AE21" s="68"/>
      <c r="AF21" s="67"/>
      <c r="AG21" s="67"/>
      <c r="AH21" s="67"/>
      <c r="AI21" s="68"/>
    </row>
    <row r="22" spans="1:35" s="16" customFormat="1" ht="15.75" customHeight="1" x14ac:dyDescent="0.3">
      <c r="A22" s="28" t="s">
        <v>6</v>
      </c>
      <c r="B22" s="35">
        <v>1.4</v>
      </c>
      <c r="C22" s="36">
        <v>4</v>
      </c>
      <c r="D22" s="31">
        <f>(C22/2)^2*3.1415*3.2*(B22/12)*7.48/2</f>
        <v>17.545486933333336</v>
      </c>
      <c r="E22" s="32">
        <f t="shared" si="3"/>
        <v>3.5090973866666673</v>
      </c>
      <c r="F22" s="60">
        <f t="shared" si="1"/>
        <v>26.866526866666668</v>
      </c>
      <c r="G22" s="32">
        <f t="shared" si="3"/>
        <v>5.3733053733333342</v>
      </c>
      <c r="H22" s="60">
        <f t="shared" si="2"/>
        <v>28.296014083333336</v>
      </c>
      <c r="I22" s="34">
        <f t="shared" si="4"/>
        <v>7.9228839433333338</v>
      </c>
      <c r="J22" s="43"/>
      <c r="K22" s="57">
        <v>5</v>
      </c>
      <c r="L22" s="58">
        <f t="shared" ref="L22:L27" si="5">(K22/2)^2*3.1415</f>
        <v>19.634375000000002</v>
      </c>
      <c r="M22" s="57">
        <f t="shared" ref="M22:M27" si="6">K22-4</f>
        <v>1</v>
      </c>
      <c r="N22" s="58">
        <f t="shared" ref="N22:N27" si="7">(1.25*M22/2)^2*3.1413</f>
        <v>1.2270703125</v>
      </c>
      <c r="O22" s="43"/>
      <c r="P22" s="67"/>
      <c r="Q22" s="67"/>
      <c r="R22" s="67"/>
      <c r="S22" s="68"/>
      <c r="T22" s="67"/>
      <c r="U22" s="67"/>
      <c r="V22" s="67"/>
      <c r="W22" s="68"/>
      <c r="X22" s="67"/>
      <c r="Y22" s="67"/>
      <c r="Z22" s="67"/>
      <c r="AA22" s="68"/>
      <c r="AB22" s="67"/>
      <c r="AC22" s="67"/>
      <c r="AD22" s="67"/>
      <c r="AE22" s="68"/>
      <c r="AF22" s="67"/>
      <c r="AG22" s="67"/>
      <c r="AH22" s="67"/>
      <c r="AI22" s="68"/>
    </row>
    <row r="23" spans="1:35" s="16" customFormat="1" ht="15.75" customHeight="1" x14ac:dyDescent="0.3">
      <c r="A23" s="28" t="s">
        <v>7</v>
      </c>
      <c r="B23" s="35">
        <v>1.8</v>
      </c>
      <c r="C23" s="36">
        <v>5</v>
      </c>
      <c r="D23" s="31">
        <f>4*C23*3.2*(B23/12)*7.48/2</f>
        <v>35.904000000000003</v>
      </c>
      <c r="E23" s="32">
        <f t="shared" si="3"/>
        <v>7.1808000000000005</v>
      </c>
      <c r="F23" s="60">
        <f t="shared" si="1"/>
        <v>37.054071037500009</v>
      </c>
      <c r="G23" s="32">
        <f t="shared" si="3"/>
        <v>7.4108142075000023</v>
      </c>
      <c r="H23" s="60">
        <f t="shared" si="2"/>
        <v>38.552095312500001</v>
      </c>
      <c r="I23" s="34">
        <f t="shared" si="4"/>
        <v>10.794586687500001</v>
      </c>
      <c r="J23" s="43"/>
      <c r="K23" s="57">
        <v>6</v>
      </c>
      <c r="L23" s="58">
        <f t="shared" si="5"/>
        <v>28.273500000000002</v>
      </c>
      <c r="M23" s="57">
        <f t="shared" si="6"/>
        <v>2</v>
      </c>
      <c r="N23" s="58">
        <f t="shared" si="7"/>
        <v>4.9082812499999999</v>
      </c>
      <c r="O23" s="43"/>
      <c r="P23" s="67"/>
      <c r="Q23" s="67"/>
      <c r="R23" s="67"/>
      <c r="S23" s="68"/>
      <c r="T23" s="67"/>
      <c r="U23" s="67"/>
      <c r="V23" s="67"/>
      <c r="W23" s="68"/>
      <c r="X23" s="67"/>
      <c r="Y23" s="67"/>
      <c r="Z23" s="67"/>
      <c r="AA23" s="68"/>
      <c r="AB23" s="67"/>
      <c r="AC23" s="67"/>
      <c r="AD23" s="67"/>
      <c r="AE23" s="68"/>
      <c r="AF23" s="67"/>
      <c r="AG23" s="67"/>
      <c r="AH23" s="67"/>
      <c r="AI23" s="68"/>
    </row>
    <row r="24" spans="1:35" s="16" customFormat="1" ht="15.75" customHeight="1" x14ac:dyDescent="0.3">
      <c r="A24" s="28" t="s">
        <v>8</v>
      </c>
      <c r="B24" s="35">
        <v>1.8</v>
      </c>
      <c r="C24" s="36">
        <v>6</v>
      </c>
      <c r="D24" s="31">
        <f t="shared" ref="D24:D30" si="8">4*C24*3.2*(B24/12)*7.48/2</f>
        <v>43.084800000000008</v>
      </c>
      <c r="E24" s="32">
        <f t="shared" si="3"/>
        <v>8.6169600000000006</v>
      </c>
      <c r="F24" s="60">
        <f t="shared" si="1"/>
        <v>39.653583750000003</v>
      </c>
      <c r="G24" s="32">
        <f t="shared" si="3"/>
        <v>7.9307167500000002</v>
      </c>
      <c r="H24" s="60">
        <f t="shared" si="2"/>
        <v>40.786543285714288</v>
      </c>
      <c r="I24" s="34">
        <f t="shared" si="4"/>
        <v>11.420232120000001</v>
      </c>
      <c r="J24" s="43"/>
      <c r="K24" s="57">
        <v>7</v>
      </c>
      <c r="L24" s="58">
        <f t="shared" si="5"/>
        <v>38.483375000000002</v>
      </c>
      <c r="M24" s="57">
        <f t="shared" si="6"/>
        <v>3</v>
      </c>
      <c r="N24" s="58">
        <f t="shared" si="7"/>
        <v>11.0436328125</v>
      </c>
      <c r="O24" s="43"/>
      <c r="P24" s="67"/>
      <c r="Q24" s="67"/>
      <c r="R24" s="67"/>
      <c r="S24" s="68"/>
      <c r="T24" s="67"/>
      <c r="U24" s="67"/>
      <c r="V24" s="67"/>
      <c r="W24" s="68"/>
      <c r="X24" s="67"/>
      <c r="Y24" s="67"/>
      <c r="Z24" s="67"/>
      <c r="AA24" s="68"/>
      <c r="AB24" s="67"/>
      <c r="AC24" s="67"/>
      <c r="AD24" s="67"/>
      <c r="AE24" s="68"/>
      <c r="AF24" s="67"/>
      <c r="AG24" s="67"/>
      <c r="AH24" s="67"/>
      <c r="AI24" s="68"/>
    </row>
    <row r="25" spans="1:35" s="16" customFormat="1" ht="15.75" customHeight="1" x14ac:dyDescent="0.3">
      <c r="A25" s="28" t="s">
        <v>9</v>
      </c>
      <c r="B25" s="35">
        <v>1.3</v>
      </c>
      <c r="C25" s="36">
        <v>6</v>
      </c>
      <c r="D25" s="31">
        <f t="shared" si="8"/>
        <v>31.116800000000008</v>
      </c>
      <c r="E25" s="32">
        <f t="shared" si="3"/>
        <v>6.2233600000000013</v>
      </c>
      <c r="F25" s="60">
        <f t="shared" si="1"/>
        <v>28.638699375000005</v>
      </c>
      <c r="G25" s="32">
        <f t="shared" si="3"/>
        <v>5.727739875000001</v>
      </c>
      <c r="H25" s="60">
        <f t="shared" si="2"/>
        <v>29.456947928571431</v>
      </c>
      <c r="I25" s="34">
        <f t="shared" si="4"/>
        <v>8.2479454200000006</v>
      </c>
      <c r="J25" s="43"/>
      <c r="K25" s="57">
        <v>8</v>
      </c>
      <c r="L25" s="58">
        <f t="shared" si="5"/>
        <v>50.264000000000003</v>
      </c>
      <c r="M25" s="57">
        <f t="shared" si="6"/>
        <v>4</v>
      </c>
      <c r="N25" s="58">
        <f t="shared" si="7"/>
        <v>19.633125</v>
      </c>
      <c r="O25" s="43"/>
      <c r="P25" s="67"/>
      <c r="Q25" s="67"/>
      <c r="R25" s="67"/>
      <c r="S25" s="68"/>
      <c r="T25" s="67"/>
      <c r="U25" s="67"/>
      <c r="V25" s="67"/>
      <c r="W25" s="68"/>
      <c r="X25" s="67"/>
      <c r="Y25" s="67"/>
      <c r="Z25" s="67"/>
      <c r="AA25" s="68"/>
      <c r="AB25" s="67"/>
      <c r="AC25" s="67"/>
      <c r="AD25" s="67"/>
      <c r="AE25" s="68"/>
      <c r="AF25" s="67"/>
      <c r="AG25" s="67"/>
      <c r="AH25" s="67"/>
      <c r="AI25" s="68"/>
    </row>
    <row r="26" spans="1:35" s="16" customFormat="1" ht="15.75" customHeight="1" x14ac:dyDescent="0.3">
      <c r="A26" s="28" t="s">
        <v>10</v>
      </c>
      <c r="B26" s="35">
        <v>1.6</v>
      </c>
      <c r="C26" s="36">
        <v>7</v>
      </c>
      <c r="D26" s="31">
        <f t="shared" si="8"/>
        <v>44.680533333333337</v>
      </c>
      <c r="E26" s="32">
        <f t="shared" si="3"/>
        <v>8.9361066666666673</v>
      </c>
      <c r="F26" s="60">
        <f t="shared" si="1"/>
        <v>37.636636033333346</v>
      </c>
      <c r="G26" s="32">
        <f t="shared" si="3"/>
        <v>7.5273272066666683</v>
      </c>
      <c r="H26" s="60">
        <f t="shared" si="2"/>
        <v>38.296829738095241</v>
      </c>
      <c r="I26" s="34">
        <f t="shared" si="4"/>
        <v>10.723112326666667</v>
      </c>
      <c r="J26" s="43"/>
      <c r="K26" s="57">
        <v>9</v>
      </c>
      <c r="L26" s="58">
        <f t="shared" si="5"/>
        <v>63.615375</v>
      </c>
      <c r="M26" s="57">
        <f t="shared" si="6"/>
        <v>5</v>
      </c>
      <c r="N26" s="58">
        <f t="shared" si="7"/>
        <v>30.676757812500004</v>
      </c>
      <c r="O26" s="43"/>
      <c r="P26" s="67"/>
      <c r="Q26" s="67"/>
      <c r="R26" s="67"/>
      <c r="S26" s="68"/>
      <c r="T26" s="67"/>
      <c r="U26" s="67"/>
      <c r="V26" s="67"/>
      <c r="W26" s="68"/>
      <c r="X26" s="67"/>
      <c r="Y26" s="67"/>
      <c r="Z26" s="67"/>
      <c r="AA26" s="68"/>
      <c r="AB26" s="67"/>
      <c r="AC26" s="67"/>
      <c r="AD26" s="67"/>
      <c r="AE26" s="68"/>
      <c r="AF26" s="67"/>
      <c r="AG26" s="67"/>
      <c r="AH26" s="67"/>
      <c r="AI26" s="68"/>
    </row>
    <row r="27" spans="1:35" s="16" customFormat="1" ht="15.75" customHeight="1" x14ac:dyDescent="0.3">
      <c r="A27" s="28" t="s">
        <v>11</v>
      </c>
      <c r="B27" s="35">
        <v>1.7</v>
      </c>
      <c r="C27" s="36">
        <v>8</v>
      </c>
      <c r="D27" s="31">
        <f t="shared" si="8"/>
        <v>54.254933333333341</v>
      </c>
      <c r="E27" s="32">
        <f t="shared" si="3"/>
        <v>10.850986666666667</v>
      </c>
      <c r="F27" s="60">
        <f t="shared" si="1"/>
        <v>42.610468266666672</v>
      </c>
      <c r="G27" s="32">
        <f t="shared" si="3"/>
        <v>8.522093653333334</v>
      </c>
      <c r="H27" s="60">
        <f t="shared" si="2"/>
        <v>42.919584386904759</v>
      </c>
      <c r="I27" s="34">
        <f t="shared" si="4"/>
        <v>12.017483628333332</v>
      </c>
      <c r="J27" s="43"/>
      <c r="K27" s="57">
        <v>10</v>
      </c>
      <c r="L27" s="58">
        <f t="shared" si="5"/>
        <v>78.537500000000009</v>
      </c>
      <c r="M27" s="57">
        <f t="shared" si="6"/>
        <v>6</v>
      </c>
      <c r="N27" s="58">
        <f t="shared" si="7"/>
        <v>44.174531250000001</v>
      </c>
      <c r="O27" s="43"/>
      <c r="P27" s="67"/>
      <c r="Q27" s="67"/>
      <c r="R27" s="67"/>
      <c r="S27" s="68"/>
      <c r="T27" s="67"/>
      <c r="U27" s="67"/>
      <c r="V27" s="67"/>
      <c r="W27" s="68"/>
      <c r="X27" s="67"/>
      <c r="Y27" s="67"/>
      <c r="Z27" s="67"/>
      <c r="AA27" s="68"/>
      <c r="AB27" s="67"/>
      <c r="AC27" s="67"/>
      <c r="AD27" s="67"/>
      <c r="AE27" s="68"/>
      <c r="AF27" s="67"/>
      <c r="AG27" s="67"/>
      <c r="AH27" s="67"/>
      <c r="AI27" s="68"/>
    </row>
    <row r="28" spans="1:35" s="16" customFormat="1" ht="15.75" customHeight="1" x14ac:dyDescent="0.3">
      <c r="A28" s="28" t="s">
        <v>12</v>
      </c>
      <c r="B28" s="35">
        <v>1.9</v>
      </c>
      <c r="C28" s="36">
        <v>9</v>
      </c>
      <c r="D28" s="31">
        <f t="shared" si="8"/>
        <v>68.217600000000004</v>
      </c>
      <c r="E28" s="32">
        <f t="shared" si="3"/>
        <v>13.643520000000001</v>
      </c>
      <c r="F28" s="60">
        <f t="shared" si="1"/>
        <v>50.646438356250009</v>
      </c>
      <c r="G28" s="32">
        <f t="shared" si="3"/>
        <v>10.129287671250001</v>
      </c>
      <c r="H28" s="60">
        <f t="shared" si="2"/>
        <v>50.526848183035725</v>
      </c>
      <c r="I28" s="34">
        <f t="shared" si="4"/>
        <v>14.147517491250003</v>
      </c>
      <c r="J28" s="43"/>
      <c r="K28" s="43"/>
      <c r="L28" s="43"/>
      <c r="M28" s="43"/>
      <c r="N28" s="57"/>
      <c r="O28" s="43"/>
      <c r="P28" s="67"/>
      <c r="Q28" s="67"/>
      <c r="R28" s="67"/>
      <c r="S28" s="68"/>
      <c r="T28" s="67"/>
      <c r="U28" s="67"/>
      <c r="V28" s="67"/>
      <c r="W28" s="68"/>
      <c r="X28" s="67"/>
      <c r="Y28" s="67"/>
      <c r="Z28" s="67"/>
      <c r="AA28" s="68"/>
      <c r="AB28" s="67"/>
      <c r="AC28" s="67"/>
      <c r="AD28" s="67"/>
      <c r="AE28" s="68"/>
      <c r="AF28" s="67"/>
      <c r="AG28" s="67"/>
      <c r="AH28" s="67"/>
      <c r="AI28" s="68"/>
    </row>
    <row r="29" spans="1:35" s="16" customFormat="1" ht="15.75" customHeight="1" x14ac:dyDescent="0.3">
      <c r="A29" s="28" t="s">
        <v>13</v>
      </c>
      <c r="B29" s="35">
        <v>2.4</v>
      </c>
      <c r="C29" s="36">
        <v>9</v>
      </c>
      <c r="D29" s="31">
        <f t="shared" si="8"/>
        <v>86.169600000000003</v>
      </c>
      <c r="E29" s="32">
        <f t="shared" si="3"/>
        <v>17.233920000000001</v>
      </c>
      <c r="F29" s="60">
        <f t="shared" si="1"/>
        <v>63.974448449999997</v>
      </c>
      <c r="G29" s="32">
        <f t="shared" si="3"/>
        <v>12.79488969</v>
      </c>
      <c r="H29" s="60">
        <f t="shared" si="2"/>
        <v>63.82338717857143</v>
      </c>
      <c r="I29" s="34">
        <f t="shared" si="4"/>
        <v>17.870548410000001</v>
      </c>
      <c r="J29" s="43"/>
      <c r="K29" s="43"/>
      <c r="L29" s="43"/>
      <c r="M29" s="43"/>
      <c r="N29" s="43"/>
      <c r="O29" s="43"/>
      <c r="P29" s="68"/>
      <c r="Q29" s="68"/>
      <c r="R29" s="68"/>
      <c r="S29" s="68"/>
      <c r="T29" s="68"/>
      <c r="U29" s="68"/>
      <c r="V29" s="68"/>
      <c r="W29" s="68"/>
      <c r="X29" s="68"/>
      <c r="Y29" s="68"/>
      <c r="Z29" s="68"/>
      <c r="AA29" s="68"/>
      <c r="AB29" s="68"/>
      <c r="AC29" s="68"/>
      <c r="AD29" s="68"/>
      <c r="AE29" s="68"/>
      <c r="AF29" s="68"/>
      <c r="AG29" s="68"/>
      <c r="AH29" s="68"/>
      <c r="AI29" s="68"/>
    </row>
    <row r="30" spans="1:35" ht="15.75" customHeight="1" thickBot="1" x14ac:dyDescent="0.35">
      <c r="A30" s="28" t="s">
        <v>14</v>
      </c>
      <c r="B30" s="37">
        <v>2.2000000000000002</v>
      </c>
      <c r="C30" s="38">
        <v>10</v>
      </c>
      <c r="D30" s="39">
        <f t="shared" si="8"/>
        <v>87.765333333333345</v>
      </c>
      <c r="E30" s="63">
        <f t="shared" si="3"/>
        <v>17.55306666666667</v>
      </c>
      <c r="F30" s="64">
        <f t="shared" si="1"/>
        <v>62.251230983333343</v>
      </c>
      <c r="G30" s="63">
        <f t="shared" si="3"/>
        <v>12.450246196666669</v>
      </c>
      <c r="H30" s="64">
        <f t="shared" si="2"/>
        <v>61.543480952380968</v>
      </c>
      <c r="I30" s="65">
        <f t="shared" si="4"/>
        <v>17.232174666666673</v>
      </c>
      <c r="K30" s="61">
        <v>0.2</v>
      </c>
      <c r="L30" s="138" t="s">
        <v>116</v>
      </c>
      <c r="N30" s="61"/>
      <c r="P30" s="66"/>
      <c r="Q30" s="66"/>
      <c r="R30" s="66"/>
      <c r="S30" s="69"/>
      <c r="T30" s="66"/>
      <c r="U30" s="66"/>
      <c r="V30" s="66"/>
      <c r="W30" s="69"/>
      <c r="X30" s="66"/>
      <c r="Y30" s="66"/>
      <c r="Z30" s="66"/>
      <c r="AA30" s="69"/>
      <c r="AB30" s="66"/>
      <c r="AC30" s="66"/>
      <c r="AD30" s="66"/>
      <c r="AE30" s="69"/>
      <c r="AF30" s="66"/>
      <c r="AG30" s="66"/>
      <c r="AH30" s="66"/>
      <c r="AI30" s="69"/>
    </row>
    <row r="31" spans="1:35" ht="15.75" customHeight="1" x14ac:dyDescent="0.3">
      <c r="A31" s="20" t="s">
        <v>46</v>
      </c>
      <c r="B31" s="21"/>
      <c r="C31" s="16"/>
      <c r="D31" s="16"/>
      <c r="E31" s="16"/>
      <c r="F31" s="16"/>
      <c r="G31" s="16"/>
      <c r="H31" s="16"/>
      <c r="I31" s="16"/>
      <c r="K31" s="60">
        <f>K30*20*20/12*7.48</f>
        <v>49.866666666666674</v>
      </c>
      <c r="L31" s="138" t="s">
        <v>117</v>
      </c>
      <c r="P31" s="66"/>
      <c r="Q31" s="66"/>
      <c r="R31" s="66"/>
      <c r="S31" s="69"/>
      <c r="T31" s="66"/>
      <c r="U31" s="66"/>
      <c r="V31" s="66"/>
      <c r="W31" s="69"/>
      <c r="X31" s="66"/>
      <c r="Y31" s="66"/>
      <c r="Z31" s="66"/>
      <c r="AA31" s="69"/>
      <c r="AB31" s="66"/>
      <c r="AC31" s="66"/>
      <c r="AD31" s="66"/>
      <c r="AE31" s="69"/>
      <c r="AF31" s="66"/>
      <c r="AG31" s="66"/>
      <c r="AH31" s="66"/>
      <c r="AI31" s="69"/>
    </row>
    <row r="32" spans="1:35" ht="15.75" customHeight="1" x14ac:dyDescent="0.25">
      <c r="A32" s="16" t="s">
        <v>119</v>
      </c>
      <c r="B32" s="16"/>
      <c r="C32" s="16"/>
      <c r="D32" s="16"/>
      <c r="E32" s="16"/>
      <c r="F32" s="16"/>
      <c r="G32" s="16"/>
      <c r="H32" s="16"/>
      <c r="P32" s="66"/>
      <c r="Q32" s="66"/>
      <c r="R32" s="66"/>
      <c r="S32" s="69"/>
      <c r="T32" s="66"/>
      <c r="U32" s="66"/>
      <c r="V32" s="66"/>
      <c r="W32" s="69"/>
      <c r="X32" s="66"/>
      <c r="Y32" s="66"/>
      <c r="Z32" s="66"/>
      <c r="AA32" s="69"/>
      <c r="AB32" s="66"/>
      <c r="AC32" s="66"/>
      <c r="AD32" s="66"/>
      <c r="AE32" s="69"/>
      <c r="AF32" s="66"/>
      <c r="AG32" s="66"/>
      <c r="AH32" s="66"/>
      <c r="AI32" s="69"/>
    </row>
    <row r="33" spans="1:35" ht="15.75" customHeight="1" x14ac:dyDescent="0.25">
      <c r="A33" s="16" t="s">
        <v>40</v>
      </c>
      <c r="B33" s="16"/>
      <c r="C33" s="16"/>
      <c r="D33" s="16"/>
      <c r="E33" s="16"/>
      <c r="F33" s="16"/>
      <c r="G33" s="16"/>
      <c r="H33" s="16"/>
      <c r="P33" s="66"/>
      <c r="Q33" s="66"/>
      <c r="R33" s="66"/>
      <c r="S33" s="69"/>
      <c r="T33" s="66"/>
      <c r="U33" s="66"/>
      <c r="V33" s="66"/>
      <c r="W33" s="69"/>
      <c r="X33" s="66"/>
      <c r="Y33" s="66"/>
      <c r="Z33" s="66"/>
      <c r="AA33" s="69"/>
      <c r="AB33" s="66"/>
      <c r="AC33" s="66"/>
      <c r="AD33" s="66"/>
      <c r="AE33" s="69"/>
      <c r="AF33" s="66"/>
      <c r="AG33" s="66"/>
      <c r="AH33" s="66"/>
      <c r="AI33" s="69"/>
    </row>
    <row r="34" spans="1:35" ht="15.75" customHeight="1" x14ac:dyDescent="0.25">
      <c r="A34" s="16"/>
      <c r="B34" s="16"/>
      <c r="C34" s="16"/>
      <c r="D34" s="16"/>
      <c r="E34" s="16"/>
      <c r="F34" s="16"/>
      <c r="G34" s="16"/>
      <c r="H34" s="16"/>
      <c r="P34" s="66"/>
      <c r="Q34" s="66"/>
      <c r="R34" s="66"/>
      <c r="S34" s="69"/>
      <c r="T34" s="66"/>
      <c r="U34" s="66"/>
      <c r="V34" s="66"/>
      <c r="W34" s="69"/>
      <c r="X34" s="66"/>
      <c r="Y34" s="66"/>
      <c r="Z34" s="66"/>
      <c r="AA34" s="69"/>
      <c r="AB34" s="66"/>
      <c r="AC34" s="66"/>
      <c r="AD34" s="66"/>
      <c r="AE34" s="69"/>
      <c r="AF34" s="66"/>
      <c r="AG34" s="66"/>
      <c r="AH34" s="66"/>
      <c r="AI34" s="69"/>
    </row>
    <row r="35" spans="1:35" ht="21.75" customHeight="1" x14ac:dyDescent="0.25">
      <c r="C35" s="16"/>
      <c r="D35" s="16"/>
      <c r="E35" s="16"/>
      <c r="F35" s="16"/>
      <c r="J35" s="51"/>
      <c r="P35" s="66"/>
      <c r="Q35" s="66"/>
      <c r="R35" s="66"/>
      <c r="S35" s="69"/>
      <c r="T35" s="66"/>
      <c r="U35" s="66"/>
      <c r="V35" s="66"/>
      <c r="W35" s="69"/>
      <c r="X35" s="66"/>
      <c r="Y35" s="66"/>
      <c r="Z35" s="66"/>
      <c r="AA35" s="69"/>
      <c r="AB35" s="66"/>
      <c r="AC35" s="66"/>
      <c r="AD35" s="66"/>
      <c r="AE35" s="69"/>
      <c r="AF35" s="66"/>
      <c r="AG35" s="66"/>
      <c r="AH35" s="66"/>
      <c r="AI35" s="69"/>
    </row>
    <row r="36" spans="1:35" s="16" customFormat="1" ht="15.75" customHeight="1" x14ac:dyDescent="0.25">
      <c r="A36" s="5"/>
      <c r="B36" s="5"/>
      <c r="G36" s="5"/>
      <c r="H36" s="5"/>
      <c r="I36" s="5"/>
      <c r="J36" s="43"/>
      <c r="K36" s="52"/>
      <c r="L36" s="43"/>
      <c r="M36" s="43"/>
      <c r="N36" s="43"/>
      <c r="O36" s="43"/>
      <c r="P36" s="67"/>
      <c r="Q36" s="67"/>
      <c r="R36" s="67"/>
      <c r="S36" s="68"/>
      <c r="T36" s="67"/>
      <c r="U36" s="67"/>
      <c r="V36" s="67"/>
      <c r="W36" s="68"/>
      <c r="X36" s="67"/>
      <c r="Y36" s="67"/>
      <c r="Z36" s="67"/>
      <c r="AA36" s="68"/>
      <c r="AB36" s="67"/>
      <c r="AC36" s="67"/>
      <c r="AD36" s="67"/>
      <c r="AE36" s="68"/>
      <c r="AF36" s="67"/>
      <c r="AG36" s="67"/>
      <c r="AH36" s="67"/>
      <c r="AI36" s="68"/>
    </row>
    <row r="37" spans="1:35" ht="15.75" customHeight="1" x14ac:dyDescent="0.25">
      <c r="C37" s="16"/>
      <c r="D37" s="16"/>
      <c r="E37" s="16"/>
      <c r="F37" s="16"/>
      <c r="P37" s="66"/>
      <c r="Q37" s="66"/>
      <c r="R37" s="66"/>
      <c r="S37" s="69"/>
      <c r="T37" s="66"/>
      <c r="U37" s="66"/>
      <c r="V37" s="66"/>
      <c r="W37" s="69"/>
      <c r="X37" s="66"/>
      <c r="Y37" s="66"/>
      <c r="Z37" s="66"/>
      <c r="AA37" s="69"/>
      <c r="AB37" s="66"/>
      <c r="AC37" s="66"/>
      <c r="AD37" s="66"/>
      <c r="AE37" s="69"/>
      <c r="AF37" s="66"/>
      <c r="AG37" s="66"/>
      <c r="AH37" s="66"/>
      <c r="AI37" s="69"/>
    </row>
    <row r="38" spans="1:35" ht="14.25" customHeight="1" x14ac:dyDescent="0.25">
      <c r="C38" s="16"/>
      <c r="D38" s="16"/>
      <c r="E38" s="16"/>
      <c r="F38" s="16"/>
      <c r="P38" s="66"/>
      <c r="Q38" s="66"/>
      <c r="R38" s="66"/>
      <c r="S38" s="69"/>
      <c r="T38" s="66"/>
      <c r="U38" s="66"/>
      <c r="V38" s="66"/>
      <c r="W38" s="69"/>
      <c r="X38" s="66"/>
      <c r="Y38" s="66"/>
      <c r="Z38" s="66"/>
      <c r="AA38" s="69"/>
      <c r="AB38" s="66"/>
      <c r="AC38" s="66"/>
      <c r="AD38" s="66"/>
      <c r="AE38" s="69"/>
      <c r="AF38" s="66"/>
      <c r="AG38" s="66"/>
      <c r="AH38" s="66"/>
      <c r="AI38" s="69"/>
    </row>
    <row r="39" spans="1:35" ht="15.75" customHeight="1" x14ac:dyDescent="0.25">
      <c r="C39" s="16"/>
      <c r="D39" s="16"/>
      <c r="E39" s="16"/>
      <c r="F39" s="16"/>
      <c r="P39" s="66"/>
      <c r="Q39" s="66"/>
      <c r="R39" s="66"/>
      <c r="S39" s="69"/>
      <c r="T39" s="66"/>
      <c r="U39" s="66"/>
      <c r="V39" s="66"/>
      <c r="W39" s="69"/>
      <c r="X39" s="66"/>
      <c r="Y39" s="66"/>
      <c r="Z39" s="66"/>
      <c r="AA39" s="69"/>
      <c r="AB39" s="66"/>
      <c r="AC39" s="66"/>
      <c r="AD39" s="66"/>
      <c r="AE39" s="69"/>
      <c r="AF39" s="66"/>
      <c r="AG39" s="66"/>
      <c r="AH39" s="66"/>
      <c r="AI39" s="69"/>
    </row>
    <row r="40" spans="1:35" ht="15.75" customHeight="1" x14ac:dyDescent="0.25">
      <c r="C40" s="16"/>
      <c r="D40" s="16"/>
      <c r="E40" s="16"/>
      <c r="F40" s="16"/>
    </row>
    <row r="41" spans="1:35" x14ac:dyDescent="0.25">
      <c r="C41" s="16"/>
      <c r="D41" s="16"/>
      <c r="E41" s="16"/>
      <c r="F41" s="16"/>
    </row>
    <row r="42" spans="1:35" x14ac:dyDescent="0.25">
      <c r="C42" s="16"/>
      <c r="D42" s="16"/>
      <c r="E42" s="16"/>
      <c r="F42" s="16"/>
    </row>
    <row r="43" spans="1:35" x14ac:dyDescent="0.25">
      <c r="C43" s="16"/>
      <c r="D43" s="16"/>
      <c r="E43" s="16"/>
      <c r="F43" s="16"/>
    </row>
    <row r="44" spans="1:35" x14ac:dyDescent="0.25">
      <c r="C44" s="16"/>
      <c r="D44" s="16"/>
      <c r="E44" s="16"/>
      <c r="F44" s="16"/>
    </row>
    <row r="45" spans="1:35" x14ac:dyDescent="0.25">
      <c r="C45" s="16"/>
      <c r="D45" s="16"/>
      <c r="E45" s="16"/>
      <c r="F45" s="16"/>
    </row>
    <row r="46" spans="1:35" x14ac:dyDescent="0.25">
      <c r="C46" s="16"/>
      <c r="D46" s="16"/>
      <c r="E46" s="16"/>
      <c r="F46" s="16"/>
    </row>
    <row r="47" spans="1:35" x14ac:dyDescent="0.25">
      <c r="C47" s="16"/>
      <c r="D47" s="16"/>
      <c r="E47" s="16"/>
      <c r="F47" s="16"/>
    </row>
    <row r="48" spans="1:35" x14ac:dyDescent="0.25">
      <c r="C48" s="16"/>
      <c r="D48" s="16"/>
      <c r="E48" s="16"/>
      <c r="F48" s="16"/>
    </row>
    <row r="49" spans="3:6" x14ac:dyDescent="0.25">
      <c r="C49" s="16"/>
      <c r="D49" s="16"/>
      <c r="E49" s="16"/>
      <c r="F49" s="16"/>
    </row>
    <row r="50" spans="3:6" x14ac:dyDescent="0.25">
      <c r="C50" s="16"/>
      <c r="D50" s="16"/>
      <c r="E50" s="16"/>
      <c r="F50" s="16"/>
    </row>
    <row r="51" spans="3:6" x14ac:dyDescent="0.25">
      <c r="C51" s="16"/>
      <c r="D51" s="16"/>
      <c r="E51" s="16"/>
      <c r="F51" s="16"/>
    </row>
    <row r="52" spans="3:6" x14ac:dyDescent="0.25">
      <c r="C52" s="16"/>
      <c r="D52" s="16"/>
      <c r="E52" s="16"/>
      <c r="F52" s="16"/>
    </row>
    <row r="53" spans="3:6" x14ac:dyDescent="0.25">
      <c r="C53" s="16"/>
      <c r="D53" s="16"/>
      <c r="E53" s="16"/>
      <c r="F53" s="16"/>
    </row>
    <row r="54" spans="3:6" x14ac:dyDescent="0.25">
      <c r="C54" s="16"/>
      <c r="D54" s="16"/>
      <c r="E54" s="16"/>
      <c r="F54" s="16"/>
    </row>
    <row r="55" spans="3:6" x14ac:dyDescent="0.25">
      <c r="C55" s="16"/>
      <c r="D55" s="16"/>
      <c r="E55" s="16"/>
      <c r="F55" s="16"/>
    </row>
  </sheetData>
  <mergeCells count="1">
    <mergeCell ref="J16:O16"/>
  </mergeCells>
  <phoneticPr fontId="7" type="noConversion"/>
  <pageMargins left="0.75" right="0.75" top="1" bottom="1" header="0.5" footer="0.5"/>
  <pageSetup orientation="portrait"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1765D-4C79-437A-8092-EE9158C2B940}">
  <dimension ref="A1:U79"/>
  <sheetViews>
    <sheetView topLeftCell="C1" workbookViewId="0">
      <selection activeCell="H3" sqref="H3:N16"/>
    </sheetView>
  </sheetViews>
  <sheetFormatPr defaultRowHeight="12.5" x14ac:dyDescent="0.25"/>
  <cols>
    <col min="1" max="1" width="21.7265625" customWidth="1"/>
    <col min="2" max="3" width="12.54296875" customWidth="1"/>
    <col min="4" max="4" width="15.81640625" customWidth="1"/>
    <col min="5" max="5" width="12.54296875" customWidth="1"/>
    <col min="6" max="6" width="8.7265625" customWidth="1"/>
    <col min="7" max="7" width="5" customWidth="1"/>
    <col min="8" max="8" width="18.7265625" customWidth="1"/>
    <col min="9" max="9" width="15.453125" customWidth="1"/>
    <col min="10" max="14" width="9.54296875" customWidth="1"/>
    <col min="15" max="15" width="7.7265625" customWidth="1"/>
    <col min="16" max="16" width="2" customWidth="1"/>
    <col min="17" max="17" width="7.7265625" style="19" customWidth="1"/>
    <col min="18" max="21" width="7.7265625" customWidth="1"/>
  </cols>
  <sheetData>
    <row r="1" spans="1:21" ht="15.5" x14ac:dyDescent="0.35">
      <c r="Q1" s="75"/>
    </row>
    <row r="2" spans="1:21" ht="18.5" thickBot="1" x14ac:dyDescent="0.45">
      <c r="H2" s="154" t="s">
        <v>115</v>
      </c>
      <c r="J2" s="76"/>
      <c r="K2" s="76"/>
      <c r="L2" s="76"/>
      <c r="M2" s="76"/>
      <c r="N2" s="76"/>
    </row>
    <row r="3" spans="1:21" ht="31.75" customHeight="1" thickBot="1" x14ac:dyDescent="0.35">
      <c r="A3" s="77" t="s">
        <v>0</v>
      </c>
      <c r="B3" s="77" t="s">
        <v>1</v>
      </c>
      <c r="C3" s="77" t="s">
        <v>32</v>
      </c>
      <c r="D3" s="77" t="s">
        <v>31</v>
      </c>
      <c r="E3" s="78" t="s">
        <v>49</v>
      </c>
      <c r="H3" s="169" t="s">
        <v>50</v>
      </c>
      <c r="I3" s="170"/>
      <c r="J3" s="79" t="s">
        <v>51</v>
      </c>
      <c r="K3" s="79" t="s">
        <v>52</v>
      </c>
      <c r="L3" s="79" t="s">
        <v>53</v>
      </c>
      <c r="M3" s="79" t="s">
        <v>54</v>
      </c>
      <c r="N3" s="80" t="s">
        <v>55</v>
      </c>
      <c r="O3" s="1"/>
      <c r="P3" s="1"/>
      <c r="Q3" s="81"/>
      <c r="R3" s="1"/>
      <c r="S3" s="1"/>
      <c r="T3" s="1"/>
      <c r="U3" s="1"/>
    </row>
    <row r="4" spans="1:21" ht="15.5" thickBot="1" x14ac:dyDescent="0.35">
      <c r="A4" s="82" t="s">
        <v>56</v>
      </c>
      <c r="B4" s="83">
        <v>1.2</v>
      </c>
      <c r="C4" s="83">
        <v>0.5</v>
      </c>
      <c r="D4" s="83">
        <v>0.7</v>
      </c>
      <c r="E4" s="84" t="s">
        <v>57</v>
      </c>
      <c r="H4" s="85" t="s">
        <v>0</v>
      </c>
      <c r="I4" s="86" t="s">
        <v>58</v>
      </c>
      <c r="J4" s="87">
        <v>0.15</v>
      </c>
      <c r="K4" s="87">
        <v>0.23</v>
      </c>
      <c r="L4" s="87">
        <v>0.28000000000000003</v>
      </c>
      <c r="M4" s="87">
        <v>0.3</v>
      </c>
      <c r="N4" s="88">
        <v>0.26</v>
      </c>
      <c r="O4" s="23"/>
      <c r="P4" s="1"/>
    </row>
    <row r="5" spans="1:21" ht="27.75" customHeight="1" x14ac:dyDescent="0.3">
      <c r="A5" s="82" t="s">
        <v>59</v>
      </c>
      <c r="B5" s="83">
        <v>1.9</v>
      </c>
      <c r="C5" s="83">
        <v>0.8</v>
      </c>
      <c r="D5" s="83">
        <v>1.1000000000000001</v>
      </c>
      <c r="E5" s="84" t="s">
        <v>60</v>
      </c>
      <c r="H5" s="167" t="s">
        <v>61</v>
      </c>
      <c r="I5" s="168"/>
      <c r="J5" s="89"/>
      <c r="K5" s="89"/>
      <c r="L5" s="89"/>
      <c r="M5" s="89"/>
      <c r="N5" s="90"/>
    </row>
    <row r="6" spans="1:21" ht="15.5" x14ac:dyDescent="0.35">
      <c r="A6" s="82" t="s">
        <v>62</v>
      </c>
      <c r="B6" s="83">
        <v>2.5</v>
      </c>
      <c r="C6" s="83">
        <v>1.1000000000000001</v>
      </c>
      <c r="D6" s="83">
        <v>1.4</v>
      </c>
      <c r="E6" s="84" t="s">
        <v>63</v>
      </c>
      <c r="H6" s="91" t="s">
        <v>4</v>
      </c>
      <c r="I6" s="92">
        <f t="shared" ref="I6:I16" si="0">D4*4*0.5</f>
        <v>1.4</v>
      </c>
      <c r="J6" s="93">
        <f t="shared" ref="J6:N16" si="1">$I6/J$4</f>
        <v>9.3333333333333339</v>
      </c>
      <c r="K6" s="93">
        <f t="shared" si="1"/>
        <v>6.0869565217391299</v>
      </c>
      <c r="L6" s="93">
        <f t="shared" si="1"/>
        <v>4.9999999999999991</v>
      </c>
      <c r="M6" s="93">
        <f t="shared" si="1"/>
        <v>4.666666666666667</v>
      </c>
      <c r="N6" s="94">
        <f t="shared" si="1"/>
        <v>5.3846153846153841</v>
      </c>
      <c r="Q6" s="95"/>
    </row>
    <row r="7" spans="1:21" ht="15.5" x14ac:dyDescent="0.35">
      <c r="A7" s="82" t="s">
        <v>64</v>
      </c>
      <c r="B7" s="83">
        <v>3.2</v>
      </c>
      <c r="C7" s="83">
        <v>1.4</v>
      </c>
      <c r="D7" s="83">
        <v>1.8</v>
      </c>
      <c r="E7" s="84" t="s">
        <v>65</v>
      </c>
      <c r="H7" s="91" t="s">
        <v>5</v>
      </c>
      <c r="I7" s="92">
        <f t="shared" si="0"/>
        <v>2.2000000000000002</v>
      </c>
      <c r="J7" s="93">
        <f t="shared" si="1"/>
        <v>14.666666666666668</v>
      </c>
      <c r="K7" s="93">
        <f t="shared" si="1"/>
        <v>9.5652173913043477</v>
      </c>
      <c r="L7" s="93">
        <f t="shared" si="1"/>
        <v>7.8571428571428568</v>
      </c>
      <c r="M7" s="93">
        <f t="shared" si="1"/>
        <v>7.3333333333333339</v>
      </c>
      <c r="N7" s="94">
        <f t="shared" si="1"/>
        <v>8.4615384615384617</v>
      </c>
      <c r="Q7" s="96"/>
    </row>
    <row r="8" spans="1:21" ht="15.5" x14ac:dyDescent="0.35">
      <c r="A8" s="82" t="s">
        <v>66</v>
      </c>
      <c r="B8" s="83">
        <v>3.6</v>
      </c>
      <c r="C8" s="83">
        <v>1.8</v>
      </c>
      <c r="D8" s="83">
        <v>1.8</v>
      </c>
      <c r="E8" s="84" t="s">
        <v>65</v>
      </c>
      <c r="H8" s="91" t="s">
        <v>6</v>
      </c>
      <c r="I8" s="92">
        <f t="shared" si="0"/>
        <v>2.8</v>
      </c>
      <c r="J8" s="93">
        <f t="shared" si="1"/>
        <v>18.666666666666668</v>
      </c>
      <c r="K8" s="93">
        <f t="shared" si="1"/>
        <v>12.17391304347826</v>
      </c>
      <c r="L8" s="93">
        <f t="shared" si="1"/>
        <v>9.9999999999999982</v>
      </c>
      <c r="M8" s="93">
        <f t="shared" si="1"/>
        <v>9.3333333333333339</v>
      </c>
      <c r="N8" s="94">
        <f t="shared" si="1"/>
        <v>10.769230769230768</v>
      </c>
      <c r="Q8" s="97"/>
    </row>
    <row r="9" spans="1:21" ht="15.5" x14ac:dyDescent="0.35">
      <c r="A9" s="82" t="s">
        <v>67</v>
      </c>
      <c r="B9" s="83">
        <v>3.5</v>
      </c>
      <c r="C9" s="83">
        <v>2.2000000000000002</v>
      </c>
      <c r="D9" s="83">
        <v>1.3</v>
      </c>
      <c r="E9" s="84" t="s">
        <v>68</v>
      </c>
      <c r="H9" s="98" t="s">
        <v>7</v>
      </c>
      <c r="I9" s="99">
        <f t="shared" si="0"/>
        <v>3.6</v>
      </c>
      <c r="J9" s="100">
        <f t="shared" si="1"/>
        <v>24</v>
      </c>
      <c r="K9" s="100">
        <f t="shared" si="1"/>
        <v>15.652173913043478</v>
      </c>
      <c r="L9" s="100">
        <f t="shared" si="1"/>
        <v>12.857142857142856</v>
      </c>
      <c r="M9" s="100">
        <f t="shared" si="1"/>
        <v>12</v>
      </c>
      <c r="N9" s="101">
        <f t="shared" si="1"/>
        <v>13.846153846153847</v>
      </c>
    </row>
    <row r="10" spans="1:21" ht="15.5" x14ac:dyDescent="0.35">
      <c r="A10" s="82" t="s">
        <v>69</v>
      </c>
      <c r="B10" s="83">
        <v>3.4</v>
      </c>
      <c r="C10" s="83">
        <v>1.8</v>
      </c>
      <c r="D10" s="83">
        <v>1.6</v>
      </c>
      <c r="E10" s="84" t="s">
        <v>70</v>
      </c>
      <c r="H10" s="98" t="s">
        <v>8</v>
      </c>
      <c r="I10" s="99">
        <f t="shared" si="0"/>
        <v>3.6</v>
      </c>
      <c r="J10" s="100">
        <f t="shared" si="1"/>
        <v>24</v>
      </c>
      <c r="K10" s="100">
        <f t="shared" si="1"/>
        <v>15.652173913043478</v>
      </c>
      <c r="L10" s="100">
        <f t="shared" si="1"/>
        <v>12.857142857142856</v>
      </c>
      <c r="M10" s="100">
        <f t="shared" si="1"/>
        <v>12</v>
      </c>
      <c r="N10" s="101">
        <f t="shared" si="1"/>
        <v>13.846153846153847</v>
      </c>
      <c r="Q10" s="97"/>
    </row>
    <row r="11" spans="1:21" ht="15.5" x14ac:dyDescent="0.35">
      <c r="A11" s="82" t="s">
        <v>71</v>
      </c>
      <c r="B11" s="83">
        <v>3.8</v>
      </c>
      <c r="C11" s="83">
        <v>2.2000000000000002</v>
      </c>
      <c r="D11" s="83">
        <v>1.7</v>
      </c>
      <c r="E11" s="84" t="s">
        <v>72</v>
      </c>
      <c r="H11" s="102" t="s">
        <v>9</v>
      </c>
      <c r="I11" s="103">
        <f t="shared" si="0"/>
        <v>2.6</v>
      </c>
      <c r="J11" s="104">
        <f t="shared" si="1"/>
        <v>17.333333333333336</v>
      </c>
      <c r="K11" s="104">
        <f t="shared" si="1"/>
        <v>11.304347826086957</v>
      </c>
      <c r="L11" s="104">
        <f t="shared" si="1"/>
        <v>9.2857142857142847</v>
      </c>
      <c r="M11" s="104">
        <f t="shared" si="1"/>
        <v>8.6666666666666679</v>
      </c>
      <c r="N11" s="105">
        <f t="shared" si="1"/>
        <v>10</v>
      </c>
      <c r="Q11" s="97"/>
    </row>
    <row r="12" spans="1:21" ht="15.5" x14ac:dyDescent="0.35">
      <c r="A12" s="82" t="s">
        <v>73</v>
      </c>
      <c r="B12" s="83">
        <v>4.3</v>
      </c>
      <c r="C12" s="83">
        <v>2.4</v>
      </c>
      <c r="D12" s="83">
        <v>1.9</v>
      </c>
      <c r="E12" s="84" t="s">
        <v>74</v>
      </c>
      <c r="H12" s="91" t="s">
        <v>10</v>
      </c>
      <c r="I12" s="92">
        <f t="shared" si="0"/>
        <v>3.2</v>
      </c>
      <c r="J12" s="93">
        <f t="shared" si="1"/>
        <v>21.333333333333336</v>
      </c>
      <c r="K12" s="93">
        <f t="shared" si="1"/>
        <v>13.913043478260869</v>
      </c>
      <c r="L12" s="93">
        <f t="shared" si="1"/>
        <v>11.428571428571429</v>
      </c>
      <c r="M12" s="93">
        <f t="shared" si="1"/>
        <v>10.666666666666668</v>
      </c>
      <c r="N12" s="94">
        <f t="shared" si="1"/>
        <v>12.307692307692308</v>
      </c>
      <c r="Q12" s="96"/>
    </row>
    <row r="13" spans="1:21" ht="15.5" x14ac:dyDescent="0.35">
      <c r="A13" s="82" t="s">
        <v>75</v>
      </c>
      <c r="B13" s="83">
        <v>4.8</v>
      </c>
      <c r="C13" s="83">
        <v>2.4</v>
      </c>
      <c r="D13" s="83">
        <v>2.4</v>
      </c>
      <c r="E13" s="84" t="s">
        <v>76</v>
      </c>
      <c r="H13" s="91" t="s">
        <v>11</v>
      </c>
      <c r="I13" s="92">
        <f t="shared" si="0"/>
        <v>3.4</v>
      </c>
      <c r="J13" s="93">
        <f t="shared" si="1"/>
        <v>22.666666666666668</v>
      </c>
      <c r="K13" s="93">
        <f t="shared" si="1"/>
        <v>14.782608695652172</v>
      </c>
      <c r="L13" s="93">
        <f t="shared" si="1"/>
        <v>12.142857142857141</v>
      </c>
      <c r="M13" s="93">
        <f t="shared" si="1"/>
        <v>11.333333333333334</v>
      </c>
      <c r="N13" s="94">
        <f t="shared" si="1"/>
        <v>13.076923076923077</v>
      </c>
      <c r="Q13" s="97"/>
    </row>
    <row r="14" spans="1:21" ht="16" thickBot="1" x14ac:dyDescent="0.4">
      <c r="A14" s="106" t="s">
        <v>77</v>
      </c>
      <c r="B14" s="107">
        <v>4.8</v>
      </c>
      <c r="C14" s="107">
        <v>2.6</v>
      </c>
      <c r="D14" s="107">
        <v>2.2000000000000002</v>
      </c>
      <c r="E14" s="108" t="s">
        <v>78</v>
      </c>
      <c r="H14" s="91" t="s">
        <v>12</v>
      </c>
      <c r="I14" s="92">
        <f t="shared" si="0"/>
        <v>3.8</v>
      </c>
      <c r="J14" s="93">
        <f t="shared" si="1"/>
        <v>25.333333333333332</v>
      </c>
      <c r="K14" s="93">
        <f t="shared" si="1"/>
        <v>16.521739130434781</v>
      </c>
      <c r="L14" s="93">
        <f t="shared" si="1"/>
        <v>13.571428571428569</v>
      </c>
      <c r="M14" s="93">
        <f t="shared" si="1"/>
        <v>12.666666666666666</v>
      </c>
      <c r="N14" s="94">
        <f t="shared" si="1"/>
        <v>14.615384615384615</v>
      </c>
      <c r="Q14" s="97"/>
    </row>
    <row r="15" spans="1:21" ht="15.5" x14ac:dyDescent="0.35">
      <c r="A15" s="171" t="s">
        <v>79</v>
      </c>
      <c r="B15" s="172"/>
      <c r="C15" s="172"/>
      <c r="D15" s="172"/>
      <c r="E15" s="172"/>
      <c r="H15" s="91" t="s">
        <v>13</v>
      </c>
      <c r="I15" s="92">
        <f t="shared" si="0"/>
        <v>4.8</v>
      </c>
      <c r="J15" s="93">
        <f t="shared" si="1"/>
        <v>32</v>
      </c>
      <c r="K15" s="93">
        <f t="shared" si="1"/>
        <v>20.869565217391301</v>
      </c>
      <c r="L15" s="93">
        <f t="shared" si="1"/>
        <v>17.142857142857142</v>
      </c>
      <c r="M15" s="93">
        <f t="shared" si="1"/>
        <v>16</v>
      </c>
      <c r="N15" s="94">
        <f t="shared" si="1"/>
        <v>18.46153846153846</v>
      </c>
      <c r="Q15" s="97"/>
    </row>
    <row r="16" spans="1:21" ht="16" thickBot="1" x14ac:dyDescent="0.4">
      <c r="A16" s="173"/>
      <c r="B16" s="173"/>
      <c r="C16" s="173"/>
      <c r="D16" s="173"/>
      <c r="E16" s="173"/>
      <c r="H16" s="109" t="s">
        <v>14</v>
      </c>
      <c r="I16" s="110">
        <f t="shared" si="0"/>
        <v>4.4000000000000004</v>
      </c>
      <c r="J16" s="111">
        <f t="shared" si="1"/>
        <v>29.333333333333336</v>
      </c>
      <c r="K16" s="111">
        <f t="shared" si="1"/>
        <v>19.130434782608695</v>
      </c>
      <c r="L16" s="111">
        <f t="shared" si="1"/>
        <v>15.714285714285714</v>
      </c>
      <c r="M16" s="111">
        <f t="shared" si="1"/>
        <v>14.666666666666668</v>
      </c>
      <c r="N16" s="112">
        <f t="shared" si="1"/>
        <v>16.923076923076923</v>
      </c>
      <c r="Q16" s="96"/>
    </row>
    <row r="17" spans="1:19" ht="14" x14ac:dyDescent="0.3">
      <c r="H17" s="6"/>
      <c r="I17" s="6"/>
      <c r="Q17" s="97"/>
    </row>
    <row r="18" spans="1:19" ht="14" x14ac:dyDescent="0.3">
      <c r="B18" s="113" t="s">
        <v>80</v>
      </c>
      <c r="C18" s="114">
        <v>1</v>
      </c>
      <c r="H18" s="17"/>
      <c r="I18" s="6"/>
      <c r="Q18" s="97"/>
    </row>
    <row r="19" spans="1:19" ht="14.5" thickBot="1" x14ac:dyDescent="0.35">
      <c r="A19" s="16" t="s">
        <v>81</v>
      </c>
      <c r="B19" s="19" t="s">
        <v>81</v>
      </c>
      <c r="C19" s="115" t="s">
        <v>82</v>
      </c>
      <c r="D19" s="116" t="s">
        <v>83</v>
      </c>
      <c r="E19" s="116" t="s">
        <v>83</v>
      </c>
      <c r="K19" s="138"/>
      <c r="L19" s="138"/>
      <c r="M19" s="166" t="s">
        <v>92</v>
      </c>
      <c r="N19" s="166"/>
      <c r="O19" s="166"/>
      <c r="Q19" s="166" t="s">
        <v>114</v>
      </c>
      <c r="R19" s="166"/>
      <c r="S19" s="166"/>
    </row>
    <row r="20" spans="1:19" ht="46.5" x14ac:dyDescent="0.3">
      <c r="A20" s="19">
        <v>0.17</v>
      </c>
      <c r="B20" s="117"/>
      <c r="C20" s="118">
        <v>37259</v>
      </c>
      <c r="D20" s="19"/>
      <c r="E20" s="19"/>
      <c r="K20" s="138"/>
      <c r="L20" s="139" t="s">
        <v>93</v>
      </c>
      <c r="M20" s="140" t="s">
        <v>94</v>
      </c>
      <c r="N20" s="141" t="s">
        <v>95</v>
      </c>
      <c r="O20" s="142" t="s">
        <v>96</v>
      </c>
      <c r="Q20" s="140" t="s">
        <v>94</v>
      </c>
      <c r="R20" s="141" t="s">
        <v>95</v>
      </c>
      <c r="S20" s="142" t="s">
        <v>96</v>
      </c>
    </row>
    <row r="21" spans="1:19" ht="23.5" x14ac:dyDescent="0.3">
      <c r="A21" s="19">
        <v>0.19</v>
      </c>
      <c r="B21" s="117"/>
      <c r="C21" s="118">
        <f t="shared" ref="C21:C37" si="2">C20+7</f>
        <v>37266</v>
      </c>
      <c r="D21" s="19"/>
      <c r="E21" s="19"/>
      <c r="K21" s="138"/>
      <c r="L21" s="143" t="s">
        <v>97</v>
      </c>
      <c r="M21" s="144" t="s">
        <v>98</v>
      </c>
      <c r="N21" s="145" t="s">
        <v>99</v>
      </c>
      <c r="O21" s="146" t="s">
        <v>100</v>
      </c>
      <c r="Q21" s="144" t="s">
        <v>98</v>
      </c>
      <c r="R21" s="145" t="s">
        <v>99</v>
      </c>
      <c r="S21" s="146" t="s">
        <v>100</v>
      </c>
    </row>
    <row r="22" spans="1:19" ht="14" x14ac:dyDescent="0.3">
      <c r="A22" s="19">
        <v>0.22</v>
      </c>
      <c r="B22" s="117"/>
      <c r="C22" s="118">
        <f t="shared" si="2"/>
        <v>37273</v>
      </c>
      <c r="D22" s="19"/>
      <c r="E22" s="19"/>
      <c r="K22" s="61" t="s">
        <v>101</v>
      </c>
      <c r="L22" s="147">
        <v>1.1418911780243</v>
      </c>
      <c r="M22" s="148">
        <v>0.34256735340728994</v>
      </c>
      <c r="N22" s="148">
        <v>0.45675647120971996</v>
      </c>
      <c r="O22" s="148">
        <v>1.1418911780243</v>
      </c>
      <c r="Q22" s="97">
        <f>M22/31</f>
        <v>1.1050559787331934E-2</v>
      </c>
      <c r="R22" s="97">
        <f>N22/31</f>
        <v>1.4734079716442579E-2</v>
      </c>
      <c r="S22" s="97">
        <f>O22/31</f>
        <v>3.683519929110645E-2</v>
      </c>
    </row>
    <row r="23" spans="1:19" ht="14" x14ac:dyDescent="0.3">
      <c r="A23" s="19">
        <v>0.26</v>
      </c>
      <c r="B23" s="119"/>
      <c r="C23" s="118">
        <f t="shared" si="2"/>
        <v>37280</v>
      </c>
      <c r="D23" s="19"/>
      <c r="E23" s="19"/>
      <c r="K23" s="61" t="s">
        <v>102</v>
      </c>
      <c r="L23" s="147">
        <v>2.5342992981661761</v>
      </c>
      <c r="M23" s="148">
        <v>0.80515562599049117</v>
      </c>
      <c r="N23" s="148">
        <v>1.0236238774432116</v>
      </c>
      <c r="O23" s="148">
        <v>2.5433030783268502</v>
      </c>
      <c r="Q23" s="97">
        <f>M23/28</f>
        <v>2.8755558071088972E-2</v>
      </c>
      <c r="R23" s="97">
        <f>N23/28</f>
        <v>3.6557995622971844E-2</v>
      </c>
      <c r="S23" s="97">
        <f>O23/28</f>
        <v>9.0832252797387505E-2</v>
      </c>
    </row>
    <row r="24" spans="1:19" ht="14" x14ac:dyDescent="0.3">
      <c r="A24" s="19">
        <v>0.31</v>
      </c>
      <c r="B24" s="119"/>
      <c r="C24" s="118">
        <f t="shared" si="2"/>
        <v>37287</v>
      </c>
      <c r="D24" s="19"/>
      <c r="E24" s="19"/>
      <c r="K24" s="61" t="s">
        <v>103</v>
      </c>
      <c r="L24" s="147">
        <v>3.9398158629537394</v>
      </c>
      <c r="M24" s="148">
        <v>2.3869643925025676</v>
      </c>
      <c r="N24" s="148">
        <v>2.5666283790350186</v>
      </c>
      <c r="O24" s="148">
        <v>4.1451090450446424</v>
      </c>
      <c r="Q24" s="97">
        <f t="shared" ref="Q24:Q33" si="3">M24/31</f>
        <v>7.6998851371050572E-2</v>
      </c>
      <c r="R24" s="97">
        <f>N24/31</f>
        <v>8.2794463839839308E-2</v>
      </c>
      <c r="S24" s="97">
        <f>O24/31</f>
        <v>0.13371319500144008</v>
      </c>
    </row>
    <row r="25" spans="1:19" ht="14" x14ac:dyDescent="0.3">
      <c r="A25" s="19">
        <v>0.36</v>
      </c>
      <c r="B25" s="119"/>
      <c r="C25" s="118">
        <f t="shared" si="2"/>
        <v>37294</v>
      </c>
      <c r="D25" s="19"/>
      <c r="E25" s="19"/>
      <c r="K25" s="61" t="s">
        <v>104</v>
      </c>
      <c r="L25" s="147">
        <v>5.8580182627726209</v>
      </c>
      <c r="M25" s="148">
        <v>4.3187895649712864</v>
      </c>
      <c r="N25" s="148">
        <v>4.6438597472809544</v>
      </c>
      <c r="O25" s="148">
        <v>6.4914503285171934</v>
      </c>
      <c r="Q25" s="97">
        <f>M25/30</f>
        <v>0.14395965216570955</v>
      </c>
      <c r="R25" s="97">
        <f>N25/30</f>
        <v>0.15479532490936515</v>
      </c>
      <c r="S25" s="97">
        <f>O25/30</f>
        <v>0.21638167761723978</v>
      </c>
    </row>
    <row r="26" spans="1:19" ht="14.5" thickBot="1" x14ac:dyDescent="0.35">
      <c r="A26" s="19">
        <v>0.42</v>
      </c>
      <c r="B26" s="119"/>
      <c r="C26" s="118">
        <f t="shared" si="2"/>
        <v>37301</v>
      </c>
      <c r="D26" s="19"/>
      <c r="E26" s="19"/>
      <c r="K26" s="61" t="s">
        <v>105</v>
      </c>
      <c r="L26" s="147">
        <v>7.6626141423288798</v>
      </c>
      <c r="M26" s="148">
        <v>6.647005578470484</v>
      </c>
      <c r="N26" s="148">
        <v>7.1473178263123494</v>
      </c>
      <c r="O26" s="148">
        <v>8.857700216510187</v>
      </c>
      <c r="Q26" s="97">
        <f t="shared" si="3"/>
        <v>0.21441953478937045</v>
      </c>
      <c r="R26" s="97">
        <f>N26/31</f>
        <v>0.23055863955846287</v>
      </c>
      <c r="S26" s="97">
        <f>O26/31</f>
        <v>0.28573226504871568</v>
      </c>
    </row>
    <row r="27" spans="1:19" ht="14" x14ac:dyDescent="0.3">
      <c r="A27" s="19">
        <v>0.48</v>
      </c>
      <c r="B27" s="120">
        <v>0.88</v>
      </c>
      <c r="C27" s="118">
        <f t="shared" si="2"/>
        <v>37308</v>
      </c>
      <c r="D27" s="19"/>
      <c r="E27" s="19"/>
      <c r="H27" s="121"/>
      <c r="I27" s="122" t="s">
        <v>84</v>
      </c>
      <c r="K27" s="61" t="s">
        <v>106</v>
      </c>
      <c r="L27" s="147">
        <v>8.1330616557240951</v>
      </c>
      <c r="M27" s="148">
        <v>7.7705493753605097</v>
      </c>
      <c r="N27" s="148">
        <v>8.3554294358715158</v>
      </c>
      <c r="O27" s="148">
        <v>9.384301910450878</v>
      </c>
      <c r="Q27" s="97">
        <f>M27/30</f>
        <v>0.25901831251201701</v>
      </c>
      <c r="R27" s="97">
        <f>N27/30</f>
        <v>0.27851431452905051</v>
      </c>
      <c r="S27" s="97">
        <f>O27/30</f>
        <v>0.31281006368169595</v>
      </c>
    </row>
    <row r="28" spans="1:19" ht="14" x14ac:dyDescent="0.3">
      <c r="A28" s="19">
        <v>0.55000000000000004</v>
      </c>
      <c r="B28" s="120">
        <v>0.81</v>
      </c>
      <c r="C28" s="118">
        <f t="shared" si="2"/>
        <v>37315</v>
      </c>
      <c r="D28" s="19"/>
      <c r="E28" s="19"/>
      <c r="H28" s="123"/>
      <c r="I28" s="124" t="s">
        <v>85</v>
      </c>
      <c r="K28" s="61" t="s">
        <v>107</v>
      </c>
      <c r="L28" s="147">
        <v>8.3296883254094034</v>
      </c>
      <c r="M28" s="148">
        <v>8.3307706239004133</v>
      </c>
      <c r="N28" s="148">
        <v>8.9578178751617354</v>
      </c>
      <c r="O28" s="148">
        <v>9.317157543987971</v>
      </c>
      <c r="Q28" s="97">
        <f t="shared" si="3"/>
        <v>0.26873453625485205</v>
      </c>
      <c r="R28" s="97">
        <f>N28/31</f>
        <v>0.28896186694070114</v>
      </c>
      <c r="S28" s="97">
        <f>O28/31</f>
        <v>0.30055346916090231</v>
      </c>
    </row>
    <row r="29" spans="1:19" ht="14" x14ac:dyDescent="0.3">
      <c r="A29" s="19">
        <v>0.62</v>
      </c>
      <c r="B29" s="119">
        <v>0.96</v>
      </c>
      <c r="C29" s="118">
        <f t="shared" si="2"/>
        <v>37322</v>
      </c>
      <c r="D29" s="19"/>
      <c r="E29" s="19"/>
      <c r="H29" s="125" t="s">
        <v>82</v>
      </c>
      <c r="I29" s="126" t="s">
        <v>86</v>
      </c>
      <c r="K29" s="61" t="s">
        <v>108</v>
      </c>
      <c r="L29" s="147">
        <v>7.4150101879103474</v>
      </c>
      <c r="M29" s="148">
        <v>7.4066572834008157</v>
      </c>
      <c r="N29" s="148">
        <v>7.9641476165600187</v>
      </c>
      <c r="O29" s="148">
        <v>6.0289378160138849</v>
      </c>
      <c r="Q29" s="97">
        <f t="shared" si="3"/>
        <v>0.23892442849680051</v>
      </c>
      <c r="R29" s="97">
        <f>N29/31</f>
        <v>0.25690798763096834</v>
      </c>
      <c r="S29" s="97">
        <f>O29/31</f>
        <v>0.19448186503270595</v>
      </c>
    </row>
    <row r="30" spans="1:19" ht="14" x14ac:dyDescent="0.3">
      <c r="A30" s="19">
        <v>0.7</v>
      </c>
      <c r="B30" s="119">
        <v>0.84</v>
      </c>
      <c r="C30" s="118">
        <f t="shared" si="2"/>
        <v>37329</v>
      </c>
      <c r="D30" s="19"/>
      <c r="E30" s="19"/>
      <c r="H30" s="127" t="s">
        <v>87</v>
      </c>
      <c r="I30" s="128" t="s">
        <v>82</v>
      </c>
      <c r="K30" s="61" t="s">
        <v>109</v>
      </c>
      <c r="L30" s="147">
        <v>5.7414987548109586</v>
      </c>
      <c r="M30" s="148">
        <v>5.4631596647269758</v>
      </c>
      <c r="N30" s="148">
        <v>5.8743652308892225</v>
      </c>
      <c r="O30" s="148">
        <v>6.3661532530095606</v>
      </c>
      <c r="Q30" s="97">
        <f>M30/30</f>
        <v>0.18210532215756586</v>
      </c>
      <c r="R30" s="97">
        <f>N30/30</f>
        <v>0.19581217436297407</v>
      </c>
      <c r="S30" s="97">
        <f>O30/30</f>
        <v>0.21220510843365201</v>
      </c>
    </row>
    <row r="31" spans="1:19" ht="14" x14ac:dyDescent="0.3">
      <c r="A31" s="19">
        <v>0.79</v>
      </c>
      <c r="B31" s="19">
        <v>1.1200000000000001</v>
      </c>
      <c r="C31" s="118">
        <f t="shared" si="2"/>
        <v>37336</v>
      </c>
      <c r="D31" s="19"/>
      <c r="E31" s="19"/>
      <c r="H31" s="129">
        <v>39559</v>
      </c>
      <c r="I31" s="130">
        <v>0.19426780507131533</v>
      </c>
      <c r="K31" s="61" t="s">
        <v>110</v>
      </c>
      <c r="L31" s="147">
        <v>3.9864236661384043</v>
      </c>
      <c r="M31" s="148">
        <v>3.2465600507240269</v>
      </c>
      <c r="N31" s="148">
        <v>3.4909247857247601</v>
      </c>
      <c r="O31" s="148">
        <v>4.2668395527624883</v>
      </c>
      <c r="Q31" s="97">
        <f>M31/31</f>
        <v>0.1047277435717428</v>
      </c>
      <c r="R31" s="97">
        <f>N31/31</f>
        <v>0.11261047695886323</v>
      </c>
      <c r="S31" s="97">
        <f>O31/31</f>
        <v>0.13763998557298349</v>
      </c>
    </row>
    <row r="32" spans="1:19" ht="14" x14ac:dyDescent="0.3">
      <c r="A32" s="19">
        <v>0.86</v>
      </c>
      <c r="B32" s="19">
        <v>1.17</v>
      </c>
      <c r="C32" s="118">
        <f t="shared" si="2"/>
        <v>37343</v>
      </c>
      <c r="D32" s="19"/>
      <c r="E32" s="19"/>
      <c r="H32" s="129">
        <v>39566</v>
      </c>
      <c r="I32" s="130">
        <v>0.44531436476492336</v>
      </c>
      <c r="K32" s="61" t="s">
        <v>111</v>
      </c>
      <c r="L32" s="147">
        <v>2.0551128216738359</v>
      </c>
      <c r="M32" s="148">
        <v>1.228734391429168</v>
      </c>
      <c r="N32" s="148">
        <v>1.3212197757302877</v>
      </c>
      <c r="O32" s="148">
        <v>2.0912020152506607</v>
      </c>
      <c r="Q32" s="97">
        <f>M32/30</f>
        <v>4.095781304763893E-2</v>
      </c>
      <c r="R32" s="97">
        <f>N32/30</f>
        <v>4.4040659191009593E-2</v>
      </c>
      <c r="S32" s="97">
        <f>O32/30</f>
        <v>6.9706733841688698E-2</v>
      </c>
    </row>
    <row r="33" spans="1:19" ht="14.5" thickBot="1" x14ac:dyDescent="0.35">
      <c r="A33" s="19">
        <v>0.94</v>
      </c>
      <c r="B33" s="19">
        <v>1.1200000000000001</v>
      </c>
      <c r="C33" s="118">
        <f t="shared" si="2"/>
        <v>37350</v>
      </c>
      <c r="D33" s="19"/>
      <c r="E33" s="19"/>
      <c r="H33" s="129">
        <v>39573</v>
      </c>
      <c r="I33" s="130">
        <v>0.61489983518225033</v>
      </c>
      <c r="J33" s="131">
        <f>AVERAGE(I31:I33)/7</f>
        <v>5.9737238334213759E-2</v>
      </c>
      <c r="K33" s="61" t="s">
        <v>112</v>
      </c>
      <c r="L33" s="147">
        <v>1.1000000000000001</v>
      </c>
      <c r="M33" s="148">
        <v>0.34012044374009509</v>
      </c>
      <c r="N33" s="148">
        <v>0.47</v>
      </c>
      <c r="O33" s="148">
        <v>1.0317802430005283</v>
      </c>
      <c r="Q33" s="97">
        <f t="shared" si="3"/>
        <v>1.0971627217422422E-2</v>
      </c>
      <c r="R33" s="97">
        <f>N33/31</f>
        <v>1.5161290322580644E-2</v>
      </c>
      <c r="S33" s="97">
        <f>O33/31</f>
        <v>3.328323364517833E-2</v>
      </c>
    </row>
    <row r="34" spans="1:19" ht="16" thickBot="1" x14ac:dyDescent="0.4">
      <c r="A34" s="19">
        <v>1.04</v>
      </c>
      <c r="B34" s="19">
        <v>1.25</v>
      </c>
      <c r="C34" s="118">
        <f t="shared" si="2"/>
        <v>37357</v>
      </c>
      <c r="D34" s="19"/>
      <c r="E34" s="19"/>
      <c r="F34" t="s">
        <v>88</v>
      </c>
      <c r="H34" s="129">
        <v>39580</v>
      </c>
      <c r="I34" s="130">
        <v>0.78781695153195974</v>
      </c>
      <c r="K34" s="149" t="s">
        <v>113</v>
      </c>
      <c r="L34" s="150">
        <f>SUM(L22:L33)</f>
        <v>57.897434155912762</v>
      </c>
      <c r="M34" s="151">
        <f>SUM(M22:M33)</f>
        <v>48.287034348624132</v>
      </c>
      <c r="N34" s="152">
        <f>SUM(N22:N33)</f>
        <v>52.272091021218792</v>
      </c>
      <c r="O34" s="153">
        <f>SUM(O22:O33)</f>
        <v>61.665826180899145</v>
      </c>
      <c r="Q34" s="95"/>
    </row>
    <row r="35" spans="1:19" x14ac:dyDescent="0.25">
      <c r="A35" s="19">
        <v>1.1200000000000001</v>
      </c>
      <c r="B35" s="19">
        <v>1.35</v>
      </c>
      <c r="C35" s="118">
        <f t="shared" si="2"/>
        <v>37364</v>
      </c>
      <c r="D35" s="19">
        <f>A35*$C$18*$F35</f>
        <v>0.11200000000000002</v>
      </c>
      <c r="E35" s="19">
        <f>IF(B35&lt;0.01,"",B35*$C$18*$F35)</f>
        <v>0.13500000000000001</v>
      </c>
      <c r="F35" s="95">
        <v>0.1</v>
      </c>
      <c r="H35" s="129">
        <v>39587</v>
      </c>
      <c r="I35" s="130">
        <v>0.97321600898045424</v>
      </c>
      <c r="L35" s="130">
        <v>0.61489983518225033</v>
      </c>
      <c r="M35" s="132">
        <v>1.2544820050184891</v>
      </c>
      <c r="R35" s="95"/>
    </row>
    <row r="36" spans="1:19" x14ac:dyDescent="0.25">
      <c r="A36" s="19">
        <v>1.21</v>
      </c>
      <c r="B36" s="19">
        <v>1.1000000000000001</v>
      </c>
      <c r="C36" s="118">
        <f t="shared" si="2"/>
        <v>37371</v>
      </c>
      <c r="D36" s="19">
        <f>A36*$C$18*$F36</f>
        <v>0.13784810126582278</v>
      </c>
      <c r="E36" s="19">
        <f>IF(B36&lt;0.01,"",B36*$C$18*$F36)</f>
        <v>0.12531645569620253</v>
      </c>
      <c r="F36" s="95">
        <v>0.11392405063291139</v>
      </c>
      <c r="H36" s="129">
        <v>39594</v>
      </c>
      <c r="I36" s="130">
        <v>1.1578642729793978</v>
      </c>
      <c r="L36" s="130">
        <v>0.78781695153195974</v>
      </c>
      <c r="M36" s="132">
        <v>2.0422989565504488</v>
      </c>
      <c r="R36" s="95"/>
    </row>
    <row r="37" spans="1:19" x14ac:dyDescent="0.25">
      <c r="A37" s="19">
        <v>1.3</v>
      </c>
      <c r="B37" s="19">
        <v>1.29</v>
      </c>
      <c r="C37" s="118">
        <f t="shared" si="2"/>
        <v>37378</v>
      </c>
      <c r="D37" s="19">
        <f>A37*$C$18*$F37</f>
        <v>0.16455696202531647</v>
      </c>
      <c r="E37" s="19">
        <f>IF(B37&lt;0.01,"",B37*$C$18*$F37)</f>
        <v>0.16329113924050634</v>
      </c>
      <c r="F37" s="95">
        <v>0.12658227848101267</v>
      </c>
      <c r="H37" s="129">
        <v>39601</v>
      </c>
      <c r="I37" s="130">
        <v>1.3589361436872691</v>
      </c>
      <c r="J37" s="131">
        <f>AVERAGE(I34:I37)/7</f>
        <v>0.15277976347068148</v>
      </c>
      <c r="L37" s="130">
        <v>0.97321600898045424</v>
      </c>
      <c r="M37" s="132">
        <v>3.0155149655309028</v>
      </c>
      <c r="R37" s="95"/>
    </row>
    <row r="38" spans="1:19" x14ac:dyDescent="0.25">
      <c r="A38" s="19"/>
      <c r="B38" s="19"/>
      <c r="C38" s="133" t="s">
        <v>89</v>
      </c>
      <c r="D38" s="134">
        <f>SUM(D34:D37)/(C37-C32)</f>
        <v>1.1840144665461121E-2</v>
      </c>
      <c r="E38" s="19"/>
      <c r="F38" s="95"/>
      <c r="H38" s="129">
        <v>39608</v>
      </c>
      <c r="I38" s="130">
        <v>1.5488333000000001</v>
      </c>
      <c r="L38" s="130">
        <v>1.1578642729793978</v>
      </c>
      <c r="M38" s="132">
        <v>4.1733792385103001</v>
      </c>
      <c r="R38" s="95"/>
    </row>
    <row r="39" spans="1:19" x14ac:dyDescent="0.25">
      <c r="A39" s="19">
        <v>1.4</v>
      </c>
      <c r="B39" s="19">
        <v>1.67</v>
      </c>
      <c r="C39" s="118">
        <f>C37+7</f>
        <v>37385</v>
      </c>
      <c r="D39" s="19">
        <f>A39*$C$18*$F39</f>
        <v>0.23037974683544302</v>
      </c>
      <c r="E39" s="19">
        <f>IF(B39&lt;0.01,"",B39*$C$18*$F39)</f>
        <v>0.27481012658227844</v>
      </c>
      <c r="F39" s="95">
        <v>0.16455696202531644</v>
      </c>
      <c r="H39" s="129">
        <v>39615</v>
      </c>
      <c r="I39" s="130">
        <v>1.7581549999999999</v>
      </c>
      <c r="L39" s="130">
        <v>1.3589361436872691</v>
      </c>
      <c r="M39" s="132">
        <v>5.5323153821975692</v>
      </c>
      <c r="R39" s="95"/>
    </row>
    <row r="40" spans="1:19" x14ac:dyDescent="0.25">
      <c r="A40" s="19">
        <v>1.48</v>
      </c>
      <c r="B40" s="19">
        <v>1.78</v>
      </c>
      <c r="C40" s="118">
        <f>C39+7</f>
        <v>37392</v>
      </c>
      <c r="D40" s="19">
        <f>A40*$C$18*$F40</f>
        <v>0.29974683544303793</v>
      </c>
      <c r="E40" s="19">
        <f>IF(B40&lt;0.01,"",B40*$C$18*$F40)</f>
        <v>0.360506329113924</v>
      </c>
      <c r="F40" s="95">
        <v>0.20253164556962022</v>
      </c>
      <c r="H40" s="129">
        <v>39622</v>
      </c>
      <c r="I40" s="130">
        <v>1.9865994675118859</v>
      </c>
      <c r="L40" s="130">
        <v>1.5488333000000001</v>
      </c>
      <c r="M40" s="132">
        <v>7.0811486821975693</v>
      </c>
      <c r="R40" s="95"/>
    </row>
    <row r="41" spans="1:19" x14ac:dyDescent="0.25">
      <c r="A41" s="19">
        <v>1.56</v>
      </c>
      <c r="B41" s="19">
        <v>1.68</v>
      </c>
      <c r="C41" s="118">
        <f>C40+7</f>
        <v>37399</v>
      </c>
      <c r="D41" s="19">
        <f>A41*$C$18*$F41</f>
        <v>0.39493670886075954</v>
      </c>
      <c r="E41" s="19">
        <f>IF(B41&lt;0.01,"",B41*$C$18*$F41)</f>
        <v>0.42531645569620252</v>
      </c>
      <c r="F41" s="95">
        <v>0.25316455696202533</v>
      </c>
      <c r="H41" s="129">
        <v>39629</v>
      </c>
      <c r="I41" s="130">
        <v>2.0536354999999995</v>
      </c>
      <c r="J41" s="131">
        <f>AVERAGE(I38:I41)/7</f>
        <v>0.26240083098256733</v>
      </c>
      <c r="L41" s="130">
        <v>1.7581549999999999</v>
      </c>
      <c r="M41" s="132">
        <v>8.8393036821975688</v>
      </c>
      <c r="R41" s="95"/>
    </row>
    <row r="42" spans="1:19" x14ac:dyDescent="0.25">
      <c r="A42" s="19">
        <v>1.63</v>
      </c>
      <c r="B42" s="19">
        <v>1.43</v>
      </c>
      <c r="C42" s="118">
        <f>C41+7</f>
        <v>37406</v>
      </c>
      <c r="D42" s="19">
        <f>A42*$C$18*$F42</f>
        <v>0.49518987341772142</v>
      </c>
      <c r="E42" s="19">
        <f>IF(B42&lt;0.01,"",B42*$C$18*$F42)</f>
        <v>0.43443037974683535</v>
      </c>
      <c r="F42" s="95">
        <v>0.30379746835443033</v>
      </c>
      <c r="H42" s="129">
        <v>39636</v>
      </c>
      <c r="I42" s="130">
        <v>2.1250662999999999</v>
      </c>
      <c r="L42" s="130">
        <v>1.9865994675118859</v>
      </c>
      <c r="M42" s="132">
        <v>10.825903149709454</v>
      </c>
      <c r="R42" s="95"/>
    </row>
    <row r="43" spans="1:19" x14ac:dyDescent="0.25">
      <c r="A43" s="19"/>
      <c r="B43" s="19"/>
      <c r="C43" s="133" t="s">
        <v>89</v>
      </c>
      <c r="D43" s="134">
        <f>SUM(D39:D42)/(C42-C37)</f>
        <v>5.0723327305605782E-2</v>
      </c>
      <c r="E43" s="19"/>
      <c r="F43" s="95"/>
      <c r="H43" s="129">
        <v>39643</v>
      </c>
      <c r="I43" s="130">
        <v>2.1284994294770203</v>
      </c>
      <c r="L43" s="130">
        <v>2.0536354999999995</v>
      </c>
      <c r="M43" s="132">
        <v>12.879538649709453</v>
      </c>
      <c r="R43" s="95"/>
    </row>
    <row r="44" spans="1:19" x14ac:dyDescent="0.25">
      <c r="A44" s="19">
        <v>1.7</v>
      </c>
      <c r="B44" s="19">
        <v>1.89</v>
      </c>
      <c r="C44" s="118">
        <f>C42+7</f>
        <v>37413</v>
      </c>
      <c r="D44" s="19">
        <f>A44*$C$18*$F44</f>
        <v>0.71012658227848102</v>
      </c>
      <c r="E44" s="19">
        <f>IF(B44&lt;0.01,"",B44*$C$18*$F44)</f>
        <v>0.78949367088607592</v>
      </c>
      <c r="F44" s="95">
        <v>0.41772151898734178</v>
      </c>
      <c r="H44" s="129">
        <v>39650</v>
      </c>
      <c r="I44" s="130">
        <v>2.0876939999999999</v>
      </c>
      <c r="L44" s="130">
        <v>2.1250662999999999</v>
      </c>
      <c r="M44" s="132">
        <v>15.004604949709453</v>
      </c>
      <c r="R44" s="95"/>
    </row>
    <row r="45" spans="1:19" x14ac:dyDescent="0.25">
      <c r="A45" s="19">
        <v>1.76</v>
      </c>
      <c r="B45" s="19">
        <v>1.88</v>
      </c>
      <c r="C45" s="118">
        <f>C44+7</f>
        <v>37420</v>
      </c>
      <c r="D45" s="19">
        <f>A45*$C$18*$F45</f>
        <v>1.0248101265822784</v>
      </c>
      <c r="E45" s="19">
        <f>IF(B45&lt;0.01,"",B45*$C$18*$F45)</f>
        <v>1.0946835443037974</v>
      </c>
      <c r="F45" s="95">
        <v>0.58227848101265822</v>
      </c>
      <c r="H45" s="129">
        <v>39657</v>
      </c>
      <c r="I45" s="130">
        <v>2.0325855662968828</v>
      </c>
      <c r="J45" s="131">
        <f>AVERAGE(I42:I45)/7</f>
        <v>0.29906590342049649</v>
      </c>
      <c r="L45" s="130">
        <v>2.1284994294770203</v>
      </c>
      <c r="M45" s="132">
        <v>17.133104379186474</v>
      </c>
      <c r="R45" s="95"/>
    </row>
    <row r="46" spans="1:19" x14ac:dyDescent="0.25">
      <c r="A46" s="19">
        <v>1.79</v>
      </c>
      <c r="B46" s="19">
        <v>1.89</v>
      </c>
      <c r="C46" s="118">
        <f>C45+7</f>
        <v>37427</v>
      </c>
      <c r="D46" s="19">
        <f>A46*$C$18*$F46</f>
        <v>1.3368354430379745</v>
      </c>
      <c r="E46" s="19">
        <f>IF(B46&lt;0.01,"",B46*$C$18*$F46)</f>
        <v>1.4115189873417719</v>
      </c>
      <c r="F46" s="95">
        <v>0.74683544303797456</v>
      </c>
      <c r="H46" s="129">
        <v>39664</v>
      </c>
      <c r="I46" s="130">
        <v>1.905435</v>
      </c>
      <c r="L46" s="130">
        <v>2.0876939999999999</v>
      </c>
      <c r="M46" s="132">
        <v>19.220798379186473</v>
      </c>
      <c r="R46" s="95"/>
    </row>
    <row r="47" spans="1:19" x14ac:dyDescent="0.25">
      <c r="A47" s="19">
        <v>1.81</v>
      </c>
      <c r="B47" s="19">
        <v>1.88</v>
      </c>
      <c r="C47" s="118">
        <f>C46+7</f>
        <v>37434</v>
      </c>
      <c r="D47" s="19">
        <f>A47*$C$18*$F47</f>
        <v>1.6267088607594935</v>
      </c>
      <c r="E47" s="19">
        <f>IF(B47&lt;0.01,"",B47*$C$18*$F47)</f>
        <v>1.6896202531645568</v>
      </c>
      <c r="F47" s="95">
        <v>0.89873417721518978</v>
      </c>
      <c r="H47" s="129">
        <v>39671</v>
      </c>
      <c r="I47" s="130">
        <v>1.6949162123613311</v>
      </c>
      <c r="J47" s="131">
        <f>AVERAGE(I46:I47)/7</f>
        <v>0.25716794374009505</v>
      </c>
      <c r="L47" s="130">
        <v>2.0325855662968828</v>
      </c>
      <c r="M47" s="132">
        <v>21.253383945483357</v>
      </c>
      <c r="R47" s="95"/>
    </row>
    <row r="48" spans="1:19" x14ac:dyDescent="0.25">
      <c r="A48" s="19"/>
      <c r="B48" s="19"/>
      <c r="C48" s="133" t="s">
        <v>89</v>
      </c>
      <c r="D48" s="134">
        <f>SUM(D44:D47)/(C47-C42)</f>
        <v>0.16780289330922241</v>
      </c>
      <c r="E48" s="19"/>
      <c r="F48" s="95"/>
      <c r="H48" s="129"/>
      <c r="I48" s="130">
        <f>SUM(I31:I47)</f>
        <v>24.853735157844689</v>
      </c>
      <c r="L48" s="130">
        <v>1.905435</v>
      </c>
      <c r="M48" s="132">
        <v>23.158818945483358</v>
      </c>
      <c r="R48" s="95"/>
    </row>
    <row r="49" spans="1:18" x14ac:dyDescent="0.25">
      <c r="A49" s="19">
        <v>1.81</v>
      </c>
      <c r="B49" s="19">
        <v>1.87</v>
      </c>
      <c r="C49" s="118">
        <f>C47+7</f>
        <v>37441</v>
      </c>
      <c r="D49" s="19">
        <f>A49*$C$18*$F49</f>
        <v>1.87873417721519</v>
      </c>
      <c r="E49" s="19">
        <f>IF(B49&lt;0.01,"",B49*$C$18*$F49)</f>
        <v>1.9410126582278482</v>
      </c>
      <c r="F49" s="95">
        <v>1.0379746835443038</v>
      </c>
      <c r="H49" s="131"/>
      <c r="I49" s="131"/>
      <c r="L49" s="130">
        <v>1.6949162123613311</v>
      </c>
      <c r="M49" s="132">
        <v>24.853735157844689</v>
      </c>
      <c r="R49" s="95"/>
    </row>
    <row r="50" spans="1:18" x14ac:dyDescent="0.25">
      <c r="A50" s="19">
        <v>1.79</v>
      </c>
      <c r="B50" s="19">
        <v>1.73</v>
      </c>
      <c r="C50" s="118">
        <f>C49+7</f>
        <v>37448</v>
      </c>
      <c r="D50" s="19">
        <f>A50*$C$18*$F50</f>
        <v>2.1298734177215186</v>
      </c>
      <c r="E50" s="19">
        <f>IF(B50&lt;0.01,"",B50*$C$18*$F50)</f>
        <v>2.0584810126582274</v>
      </c>
      <c r="F50" s="95">
        <v>1.1898734177215187</v>
      </c>
      <c r="R50" s="95"/>
    </row>
    <row r="51" spans="1:18" x14ac:dyDescent="0.25">
      <c r="A51" s="19">
        <v>1.76</v>
      </c>
      <c r="B51" s="19">
        <v>1.76</v>
      </c>
      <c r="C51" s="118">
        <f>C50+7</f>
        <v>37455</v>
      </c>
      <c r="D51" s="19">
        <f>A51*$C$18*$F51</f>
        <v>2.1295999999999999</v>
      </c>
      <c r="E51" s="19">
        <f>IF(B51&lt;0.01,"",B51*$C$18*$F51)</f>
        <v>2.1295999999999999</v>
      </c>
      <c r="F51" s="95">
        <v>1.21</v>
      </c>
      <c r="R51" s="95"/>
    </row>
    <row r="52" spans="1:18" x14ac:dyDescent="0.25">
      <c r="A52" s="19">
        <v>1.72</v>
      </c>
      <c r="B52" s="19">
        <v>1.72</v>
      </c>
      <c r="C52" s="118">
        <f>C51+7</f>
        <v>37462</v>
      </c>
      <c r="D52" s="19">
        <f>A52*$C$18*$F52</f>
        <v>2.0811999999999999</v>
      </c>
      <c r="E52" s="19">
        <f>IF(B52&lt;0.01,"",B52*$C$18*$F52)</f>
        <v>2.0811999999999999</v>
      </c>
      <c r="F52" s="95">
        <v>1.21</v>
      </c>
      <c r="R52" s="95"/>
    </row>
    <row r="53" spans="1:18" x14ac:dyDescent="0.25">
      <c r="A53" s="19">
        <v>1.65</v>
      </c>
      <c r="B53" s="19">
        <v>1.65</v>
      </c>
      <c r="C53" s="118">
        <f>C52+7</f>
        <v>37469</v>
      </c>
      <c r="D53" s="19">
        <f>A53*$C$18*$F53</f>
        <v>1.9964999999999999</v>
      </c>
      <c r="E53" s="19">
        <f>IF(B53&lt;0.01,"",B53*$C$18*$F53)</f>
        <v>1.9964999999999999</v>
      </c>
      <c r="F53" s="95">
        <v>1.21</v>
      </c>
      <c r="R53" s="95"/>
    </row>
    <row r="54" spans="1:18" x14ac:dyDescent="0.25">
      <c r="A54" s="19"/>
      <c r="B54" s="19"/>
      <c r="C54" s="133" t="s">
        <v>89</v>
      </c>
      <c r="D54" s="134">
        <f>SUM(D49:D53)/(C53-C47)</f>
        <v>0.2918830741410488</v>
      </c>
      <c r="E54" s="19"/>
      <c r="F54" s="95"/>
      <c r="R54" s="95"/>
    </row>
    <row r="55" spans="1:18" x14ac:dyDescent="0.25">
      <c r="A55" s="19">
        <v>1.58</v>
      </c>
      <c r="B55" s="19">
        <v>1.58</v>
      </c>
      <c r="C55" s="118">
        <f>C53+7</f>
        <v>37476</v>
      </c>
      <c r="D55" s="19">
        <f>A55*$C$18*$F55</f>
        <v>1.9117999999999999</v>
      </c>
      <c r="E55" s="19">
        <f>IF(B55&lt;0.01,"",B55*$C$18*$F55)</f>
        <v>1.9117999999999999</v>
      </c>
      <c r="F55" s="95">
        <v>1.21</v>
      </c>
      <c r="R55" s="95"/>
    </row>
    <row r="56" spans="1:18" x14ac:dyDescent="0.25">
      <c r="A56" s="19">
        <v>1.5</v>
      </c>
      <c r="B56" s="19"/>
      <c r="C56" s="118">
        <f>C55+7</f>
        <v>37483</v>
      </c>
      <c r="D56" s="19">
        <f>A56*$C$18*$F56</f>
        <v>1.8149999999999999</v>
      </c>
      <c r="E56" s="19" t="str">
        <f>IF(B56&lt;0.01,"",B56*$C$18*$F56)</f>
        <v/>
      </c>
      <c r="F56" s="95">
        <v>1.21</v>
      </c>
      <c r="R56" s="95"/>
    </row>
    <row r="57" spans="1:18" x14ac:dyDescent="0.25">
      <c r="A57" s="19">
        <v>1.43</v>
      </c>
      <c r="B57" s="19"/>
      <c r="C57" s="118">
        <f>C56+7</f>
        <v>37490</v>
      </c>
      <c r="D57" s="19">
        <f>A57*$C$18*$F57</f>
        <v>1.7302999999999999</v>
      </c>
      <c r="E57" s="19" t="str">
        <f>IF(B57&lt;0.01,"",B57*$C$18*$F57)</f>
        <v/>
      </c>
      <c r="F57" s="95">
        <v>1.21</v>
      </c>
      <c r="R57" s="95"/>
    </row>
    <row r="58" spans="1:18" x14ac:dyDescent="0.25">
      <c r="A58" s="19">
        <v>1.36</v>
      </c>
      <c r="B58" s="19"/>
      <c r="C58" s="118">
        <f>C57+7</f>
        <v>37497</v>
      </c>
      <c r="D58" s="19">
        <f>A58*$C$18*$F58</f>
        <v>1.6456000000000002</v>
      </c>
      <c r="E58" s="19" t="str">
        <f>IF(B58&lt;0.01,"",B58*$C$18*$F58)</f>
        <v/>
      </c>
      <c r="F58" s="95">
        <v>1.21</v>
      </c>
      <c r="R58" s="95"/>
    </row>
    <row r="59" spans="1:18" x14ac:dyDescent="0.25">
      <c r="A59" s="19"/>
      <c r="B59" s="19"/>
      <c r="C59" s="133" t="s">
        <v>89</v>
      </c>
      <c r="D59" s="134">
        <f>SUM(D55:D58)/(C58-C53)</f>
        <v>0.25366785714285711</v>
      </c>
      <c r="E59" s="19"/>
      <c r="F59" s="95"/>
      <c r="R59" s="95"/>
    </row>
    <row r="60" spans="1:18" x14ac:dyDescent="0.25">
      <c r="A60" s="19">
        <v>1.28</v>
      </c>
      <c r="B60" s="19"/>
      <c r="C60" s="118">
        <f>C58+7</f>
        <v>37504</v>
      </c>
      <c r="D60" s="19">
        <f>A60*$C$18*$F60</f>
        <v>1.4906329113924051</v>
      </c>
      <c r="E60" s="19" t="str">
        <f>IF(B60&lt;0.01,"",B60*$C$18*$F60)</f>
        <v/>
      </c>
      <c r="F60" s="95">
        <v>1.1645569620253164</v>
      </c>
      <c r="R60" s="95"/>
    </row>
    <row r="61" spans="1:18" x14ac:dyDescent="0.25">
      <c r="A61" s="19">
        <v>1.19</v>
      </c>
      <c r="B61" s="19"/>
      <c r="C61" s="118">
        <f>C60+7</f>
        <v>37511</v>
      </c>
      <c r="D61" s="19">
        <f>A61*$C$18*$F61</f>
        <v>1.280379746835443</v>
      </c>
      <c r="E61" s="19" t="str">
        <f>IF(B61&lt;0.01,"",B61*$C$18*$F61)</f>
        <v/>
      </c>
      <c r="F61" s="95">
        <v>1.0759493670886076</v>
      </c>
      <c r="R61" s="95"/>
    </row>
    <row r="62" spans="1:18" x14ac:dyDescent="0.25">
      <c r="A62" s="19">
        <v>1.0900000000000001</v>
      </c>
      <c r="B62" s="19"/>
      <c r="C62" s="118">
        <f>C61+7</f>
        <v>37518</v>
      </c>
      <c r="D62" s="19">
        <f>A62*$C$18*$F62</f>
        <v>1.0486075949367091</v>
      </c>
      <c r="E62" s="19" t="str">
        <f>IF(B62&lt;0.01,"",B62*$C$18*$F62)</f>
        <v/>
      </c>
      <c r="F62" s="95">
        <v>0.96202531645569633</v>
      </c>
      <c r="R62" s="95"/>
    </row>
    <row r="63" spans="1:18" x14ac:dyDescent="0.25">
      <c r="A63" s="19">
        <v>0.99</v>
      </c>
      <c r="B63" s="19"/>
      <c r="C63" s="118">
        <f>C62+7</f>
        <v>37525</v>
      </c>
      <c r="D63" s="19">
        <f>A63*$C$18*$F63</f>
        <v>0.81455696202531636</v>
      </c>
      <c r="E63" s="19" t="str">
        <f>IF(B63&lt;0.01,"",B63*$C$18*$F63)</f>
        <v/>
      </c>
      <c r="F63" s="95">
        <v>0.82278481012658222</v>
      </c>
      <c r="R63" s="95"/>
    </row>
    <row r="64" spans="1:18" x14ac:dyDescent="0.25">
      <c r="A64" s="19">
        <v>0.9</v>
      </c>
      <c r="B64" s="19"/>
      <c r="C64" s="118">
        <f>C63+7</f>
        <v>37532</v>
      </c>
      <c r="D64" s="19">
        <f>A64*$C$18*$F64</f>
        <v>0.62658227848101267</v>
      </c>
      <c r="E64" s="19" t="str">
        <f>IF(B64&lt;0.01,"",B64*$C$18*$F64)</f>
        <v/>
      </c>
      <c r="F64" s="95">
        <v>0.69620253164556967</v>
      </c>
      <c r="R64" s="95"/>
    </row>
    <row r="65" spans="1:18" x14ac:dyDescent="0.25">
      <c r="A65" s="19"/>
      <c r="B65" s="19"/>
      <c r="C65" s="133" t="s">
        <v>89</v>
      </c>
      <c r="D65" s="134">
        <f>SUM(D60:D64)/(C64-C58)</f>
        <v>0.15030741410488246</v>
      </c>
      <c r="E65" s="19"/>
      <c r="F65" s="95"/>
      <c r="R65" s="95"/>
    </row>
    <row r="66" spans="1:18" x14ac:dyDescent="0.25">
      <c r="A66" s="19">
        <v>0.8</v>
      </c>
      <c r="B66" s="19"/>
      <c r="C66" s="118">
        <f>C64+7</f>
        <v>37539</v>
      </c>
      <c r="D66" s="19">
        <f>A66*$C$18*$F66</f>
        <v>0.45569620253164561</v>
      </c>
      <c r="E66" s="19" t="str">
        <f>IF(B66&lt;0.01,"",B66*$C$18*$F66)</f>
        <v/>
      </c>
      <c r="F66" s="95">
        <v>0.569620253164557</v>
      </c>
      <c r="R66" s="95"/>
    </row>
    <row r="67" spans="1:18" x14ac:dyDescent="0.25">
      <c r="A67" s="19">
        <v>0.7</v>
      </c>
      <c r="B67" s="19"/>
      <c r="C67" s="118">
        <f>C66+7</f>
        <v>37546</v>
      </c>
      <c r="D67" s="19">
        <f>A67*$C$18*$F67</f>
        <v>0.31898734177215188</v>
      </c>
      <c r="E67" s="19" t="str">
        <f>IF(B67&lt;0.01,"",B67*$C$18*$F67)</f>
        <v/>
      </c>
      <c r="F67" s="95">
        <v>0.45569620253164556</v>
      </c>
      <c r="R67" s="95"/>
    </row>
    <row r="68" spans="1:18" x14ac:dyDescent="0.25">
      <c r="A68" s="19"/>
      <c r="B68" s="19"/>
      <c r="C68" s="133" t="s">
        <v>89</v>
      </c>
      <c r="D68" s="134">
        <f>SUM(D66:D67)/(C67-C64)</f>
        <v>5.5334538878842675E-2</v>
      </c>
      <c r="E68" s="19"/>
      <c r="F68" s="19"/>
    </row>
    <row r="69" spans="1:18" x14ac:dyDescent="0.25">
      <c r="A69" s="19">
        <v>0.62</v>
      </c>
      <c r="B69" s="19"/>
      <c r="C69" s="118">
        <f>C67+7</f>
        <v>37553</v>
      </c>
      <c r="D69" s="19">
        <f>A69*$M$2*$F69</f>
        <v>0</v>
      </c>
      <c r="E69" s="19" t="str">
        <f>IF(B69&lt;0.01,"",B69*$M$2*$F69)</f>
        <v/>
      </c>
      <c r="F69" s="19"/>
    </row>
    <row r="70" spans="1:18" x14ac:dyDescent="0.25">
      <c r="A70" s="19">
        <v>0.53</v>
      </c>
      <c r="B70" s="135"/>
      <c r="C70" s="118">
        <f t="shared" ref="C70:C78" si="4">C69+7</f>
        <v>37560</v>
      </c>
      <c r="D70" s="19">
        <f>A70*$M$2*$F70</f>
        <v>0</v>
      </c>
      <c r="E70" s="19" t="str">
        <f>IF(B70&lt;0.01,"",B70*$M$2*$F70)</f>
        <v/>
      </c>
      <c r="F70" s="19"/>
    </row>
    <row r="71" spans="1:18" x14ac:dyDescent="0.25">
      <c r="A71" s="19">
        <v>0.44</v>
      </c>
      <c r="B71" s="19"/>
      <c r="C71" s="118">
        <f t="shared" si="4"/>
        <v>37567</v>
      </c>
      <c r="D71" s="19">
        <f t="shared" ref="D71:D78" si="5">A71*$M$2*$Q71</f>
        <v>0</v>
      </c>
      <c r="E71" s="19" t="str">
        <f t="shared" ref="E71:E78" si="6">IF(B71&lt;0.01,"",B71*$M$2*$Q71)</f>
        <v/>
      </c>
    </row>
    <row r="72" spans="1:18" x14ac:dyDescent="0.25">
      <c r="A72" s="19">
        <v>0.36</v>
      </c>
      <c r="B72" s="19"/>
      <c r="C72" s="118">
        <f t="shared" si="4"/>
        <v>37574</v>
      </c>
      <c r="D72" s="19">
        <f t="shared" si="5"/>
        <v>0</v>
      </c>
      <c r="E72" s="19" t="str">
        <f t="shared" si="6"/>
        <v/>
      </c>
    </row>
    <row r="73" spans="1:18" x14ac:dyDescent="0.25">
      <c r="A73" s="19">
        <v>0.3</v>
      </c>
      <c r="B73" s="19"/>
      <c r="C73" s="118">
        <f t="shared" si="4"/>
        <v>37581</v>
      </c>
      <c r="D73" s="19">
        <f t="shared" si="5"/>
        <v>0</v>
      </c>
      <c r="E73" s="19" t="str">
        <f t="shared" si="6"/>
        <v/>
      </c>
    </row>
    <row r="74" spans="1:18" x14ac:dyDescent="0.25">
      <c r="A74" s="19">
        <v>0.23</v>
      </c>
      <c r="B74" s="19"/>
      <c r="C74" s="118">
        <f t="shared" si="4"/>
        <v>37588</v>
      </c>
      <c r="D74" s="19">
        <f t="shared" si="5"/>
        <v>0</v>
      </c>
      <c r="E74" s="19" t="str">
        <f t="shared" si="6"/>
        <v/>
      </c>
    </row>
    <row r="75" spans="1:18" x14ac:dyDescent="0.25">
      <c r="A75" s="19">
        <v>0.18</v>
      </c>
      <c r="B75" s="19"/>
      <c r="C75" s="118">
        <f t="shared" si="4"/>
        <v>37595</v>
      </c>
      <c r="D75" s="19">
        <f t="shared" si="5"/>
        <v>0</v>
      </c>
      <c r="E75" s="19" t="str">
        <f t="shared" si="6"/>
        <v/>
      </c>
    </row>
    <row r="76" spans="1:18" x14ac:dyDescent="0.25">
      <c r="A76" s="19">
        <v>0.15</v>
      </c>
      <c r="B76" s="19"/>
      <c r="C76" s="118">
        <f t="shared" si="4"/>
        <v>37602</v>
      </c>
      <c r="D76" s="19">
        <f t="shared" si="5"/>
        <v>0</v>
      </c>
      <c r="E76" s="19" t="str">
        <f t="shared" si="6"/>
        <v/>
      </c>
    </row>
    <row r="77" spans="1:18" x14ac:dyDescent="0.25">
      <c r="A77" s="19">
        <v>0.13</v>
      </c>
      <c r="B77" s="19"/>
      <c r="C77" s="118">
        <f t="shared" si="4"/>
        <v>37609</v>
      </c>
      <c r="D77" s="19">
        <f t="shared" si="5"/>
        <v>0</v>
      </c>
      <c r="E77" s="19" t="str">
        <f t="shared" si="6"/>
        <v/>
      </c>
    </row>
    <row r="78" spans="1:18" x14ac:dyDescent="0.25">
      <c r="A78" s="19">
        <v>0.15</v>
      </c>
      <c r="B78" s="19"/>
      <c r="C78" s="118">
        <f t="shared" si="4"/>
        <v>37616</v>
      </c>
      <c r="D78" s="19">
        <f t="shared" si="5"/>
        <v>0</v>
      </c>
      <c r="E78" s="19" t="str">
        <f t="shared" si="6"/>
        <v/>
      </c>
    </row>
    <row r="79" spans="1:18" x14ac:dyDescent="0.25">
      <c r="A79" s="19">
        <f>SUM(A20:A78)</f>
        <v>49.309999999999988</v>
      </c>
      <c r="B79" s="19"/>
      <c r="C79" s="136" t="s">
        <v>90</v>
      </c>
      <c r="D79" s="137">
        <f>SUM(D20:D78)</f>
        <v>30.868749122965649</v>
      </c>
      <c r="E79" s="137">
        <f>SUM(E20:E78)</f>
        <v>19.022581012658229</v>
      </c>
    </row>
  </sheetData>
  <mergeCells count="5">
    <mergeCell ref="Q19:S19"/>
    <mergeCell ref="H5:I5"/>
    <mergeCell ref="H3:I3"/>
    <mergeCell ref="A15:E16"/>
    <mergeCell ref="M19:O19"/>
  </mergeCells>
  <phoneticPr fontId="7" type="noConversion"/>
  <pageMargins left="0.75" right="0.75" top="1" bottom="1" header="0.5" footer="0.5"/>
  <pageSetup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1E08A-A43C-497B-AB13-3DB0A9A96731}">
  <dimension ref="A2:Q260"/>
  <sheetViews>
    <sheetView topLeftCell="K1" workbookViewId="0">
      <selection activeCell="Y8" sqref="Y8"/>
    </sheetView>
  </sheetViews>
  <sheetFormatPr defaultRowHeight="12.5" x14ac:dyDescent="0.25"/>
  <cols>
    <col min="1" max="1" width="7" customWidth="1"/>
    <col min="2" max="3" width="10.7265625" style="3" customWidth="1"/>
    <col min="4" max="4" width="11.453125" style="3" customWidth="1"/>
    <col min="5" max="5" width="9.26953125" style="3" customWidth="1"/>
    <col min="6" max="6" width="11.54296875" customWidth="1"/>
    <col min="7" max="7" width="8.81640625" customWidth="1"/>
    <col min="8" max="8" width="11.54296875" customWidth="1"/>
    <col min="9" max="9" width="8.81640625" customWidth="1"/>
  </cols>
  <sheetData>
    <row r="2" spans="1:17" x14ac:dyDescent="0.25">
      <c r="N2">
        <f>(5/12)^2*3.1415*1000</f>
        <v>545.39930555555566</v>
      </c>
      <c r="O2">
        <f>N2/2.5/60</f>
        <v>3.6359953703703711</v>
      </c>
      <c r="Q2">
        <f>2.5*448</f>
        <v>1120</v>
      </c>
    </row>
    <row r="3" spans="1:17" x14ac:dyDescent="0.25">
      <c r="A3" t="s">
        <v>18</v>
      </c>
    </row>
    <row r="4" spans="1:17" s="1" customFormat="1" ht="37.5" x14ac:dyDescent="0.25">
      <c r="A4" s="1" t="s">
        <v>16</v>
      </c>
      <c r="B4" s="2" t="s">
        <v>17</v>
      </c>
      <c r="C4" s="2" t="s">
        <v>19</v>
      </c>
      <c r="D4" s="2" t="s">
        <v>20</v>
      </c>
      <c r="E4" s="2" t="s">
        <v>22</v>
      </c>
      <c r="F4" s="2" t="s">
        <v>21</v>
      </c>
      <c r="G4" s="2" t="s">
        <v>22</v>
      </c>
      <c r="H4" s="2" t="s">
        <v>23</v>
      </c>
      <c r="I4" s="2" t="s">
        <v>22</v>
      </c>
      <c r="J4" s="2"/>
      <c r="K4" s="1" t="s">
        <v>16</v>
      </c>
      <c r="L4" s="2" t="s">
        <v>24</v>
      </c>
      <c r="M4" s="2" t="s">
        <v>25</v>
      </c>
    </row>
    <row r="5" spans="1:17" x14ac:dyDescent="0.25">
      <c r="A5">
        <v>4</v>
      </c>
      <c r="B5" s="3">
        <v>1</v>
      </c>
      <c r="C5" s="3">
        <v>100</v>
      </c>
      <c r="D5" s="4">
        <f>C5/7.48/3600/((0.25/12)^2*3.1415)</f>
        <v>2.7235873731084892</v>
      </c>
      <c r="E5" s="4">
        <f>4/D5/60</f>
        <v>2.4477520833333339E-2</v>
      </c>
      <c r="F5" s="4">
        <f>C5/7.48/3600/((0.31/12)^2*3.1415)</f>
        <v>1.7713237338114525</v>
      </c>
      <c r="G5" s="4">
        <f>4/F5/60</f>
        <v>3.7636636033333337E-2</v>
      </c>
      <c r="H5" s="4">
        <f>C5*2.5/7.48/3600/((0.4/12)^2*3.1415)</f>
        <v>2.6597532940512596</v>
      </c>
      <c r="I5" s="4">
        <f>4/H5/60</f>
        <v>2.5064981333333333E-2</v>
      </c>
      <c r="J5" s="4"/>
      <c r="K5">
        <v>4</v>
      </c>
      <c r="L5" s="4">
        <v>1.6318347222222224E-2</v>
      </c>
      <c r="M5" s="4">
        <v>2.509109068888889E-2</v>
      </c>
    </row>
    <row r="6" spans="1:17" x14ac:dyDescent="0.25">
      <c r="A6">
        <f>A5+4</f>
        <v>8</v>
      </c>
      <c r="B6" s="3">
        <f>B5+1</f>
        <v>2</v>
      </c>
      <c r="C6" s="3">
        <f>C5-1</f>
        <v>99</v>
      </c>
      <c r="D6" s="4">
        <f>C6/7.48/3600/((0.25/12)^2*3.1415)</f>
        <v>2.6963514993774047</v>
      </c>
      <c r="E6" s="4">
        <f>4/D6/60+E5</f>
        <v>4.9202289351851863E-2</v>
      </c>
      <c r="F6" s="4">
        <f>C6/7.48/3600/((0.31/12)^2*3.1415)</f>
        <v>1.7536104964733381</v>
      </c>
      <c r="G6" s="4">
        <f>4/F6/60+G5</f>
        <v>7.5653440107407405E-2</v>
      </c>
      <c r="H6" s="4">
        <f>C6*2.5/7.48/3600/((0.4/12)^2*3.1415)</f>
        <v>2.6331557611107463</v>
      </c>
      <c r="I6" s="4">
        <f>4/H6/60+I5</f>
        <v>5.0383144296296298E-2</v>
      </c>
      <c r="J6" s="4"/>
      <c r="K6">
        <f>K5+4</f>
        <v>8</v>
      </c>
      <c r="L6" s="4">
        <v>3.2746213553318422E-2</v>
      </c>
      <c r="M6" s="4">
        <v>5.0350577959582407E-2</v>
      </c>
    </row>
    <row r="7" spans="1:17" x14ac:dyDescent="0.25">
      <c r="A7">
        <f t="shared" ref="A7:A28" si="0">A6+4</f>
        <v>12</v>
      </c>
      <c r="B7" s="3">
        <f t="shared" ref="B7:B28" si="1">B6+1</f>
        <v>3</v>
      </c>
      <c r="C7" s="3">
        <f t="shared" ref="C7:C28" si="2">C6-1</f>
        <v>98</v>
      </c>
      <c r="D7" s="4">
        <f t="shared" ref="D7:D28" si="3">C7/7.48/3600/((0.25/12)^2*3.1415)</f>
        <v>2.6691156256463202</v>
      </c>
      <c r="E7" s="4">
        <f t="shared" ref="E7:E28" si="4">4/D7/60+E6</f>
        <v>7.4179351426681792E-2</v>
      </c>
      <c r="F7" s="4">
        <f t="shared" ref="F7:F28" si="5">C7/7.48/3600/((0.31/12)^2*3.1415)</f>
        <v>1.7358972591352237</v>
      </c>
      <c r="G7" s="4">
        <f t="shared" ref="G7:G28" si="6">4/F7/60+G6</f>
        <v>0.11405817075366591</v>
      </c>
      <c r="H7" s="4">
        <f t="shared" ref="H7:H70" si="7">C7*2.5/7.48/3600/((0.4/12)^2*3.1415)</f>
        <v>2.606558228170234</v>
      </c>
      <c r="I7" s="4">
        <f t="shared" ref="I7:I28" si="8">4/H7/60+I6</f>
        <v>7.5959655860922154E-2</v>
      </c>
      <c r="J7" s="4"/>
      <c r="K7">
        <f t="shared" ref="K7:K28" si="9">K6+4</f>
        <v>12</v>
      </c>
      <c r="L7" s="4">
        <v>4.9285078981246344E-2</v>
      </c>
      <c r="M7" s="4">
        <v>7.5780737441564383E-2</v>
      </c>
    </row>
    <row r="8" spans="1:17" x14ac:dyDescent="0.25">
      <c r="A8">
        <f t="shared" si="0"/>
        <v>16</v>
      </c>
      <c r="B8" s="3">
        <f t="shared" si="1"/>
        <v>4</v>
      </c>
      <c r="C8" s="3">
        <f t="shared" si="2"/>
        <v>97</v>
      </c>
      <c r="D8" s="4">
        <f t="shared" si="3"/>
        <v>2.6418797519152348</v>
      </c>
      <c r="E8" s="4">
        <f t="shared" si="4"/>
        <v>9.941390898681926E-2</v>
      </c>
      <c r="F8" s="4">
        <f t="shared" si="5"/>
        <v>1.7181840217971089</v>
      </c>
      <c r="G8" s="4">
        <f t="shared" si="6"/>
        <v>0.15285882645813326</v>
      </c>
      <c r="H8" s="4">
        <f t="shared" si="7"/>
        <v>2.5799606952297212</v>
      </c>
      <c r="I8" s="4">
        <f t="shared" si="8"/>
        <v>0.10179984280250291</v>
      </c>
      <c r="J8" s="4"/>
      <c r="K8">
        <f t="shared" si="9"/>
        <v>16</v>
      </c>
      <c r="L8" s="4">
        <v>6.593645369779963E-2</v>
      </c>
      <c r="M8" s="4">
        <v>0.10138389120573672</v>
      </c>
    </row>
    <row r="9" spans="1:17" x14ac:dyDescent="0.25">
      <c r="A9">
        <f t="shared" si="0"/>
        <v>20</v>
      </c>
      <c r="B9" s="3">
        <f t="shared" si="1"/>
        <v>5</v>
      </c>
      <c r="C9" s="3">
        <f t="shared" si="2"/>
        <v>96</v>
      </c>
      <c r="D9" s="4">
        <f t="shared" si="3"/>
        <v>2.6146438781841499</v>
      </c>
      <c r="E9" s="4">
        <f t="shared" si="4"/>
        <v>0.12491132652154149</v>
      </c>
      <c r="F9" s="4">
        <f t="shared" si="5"/>
        <v>1.7004707844589946</v>
      </c>
      <c r="G9" s="4">
        <f t="shared" si="6"/>
        <v>0.19206365565952216</v>
      </c>
      <c r="H9" s="4">
        <f t="shared" si="7"/>
        <v>2.5533631622892092</v>
      </c>
      <c r="I9" s="4">
        <f t="shared" si="8"/>
        <v>0.12790919835805847</v>
      </c>
      <c r="J9" s="4"/>
      <c r="K9">
        <f t="shared" si="9"/>
        <v>20</v>
      </c>
      <c r="L9" s="4">
        <v>8.2701878926110139E-2</v>
      </c>
      <c r="M9" s="4">
        <v>0.12716240903678694</v>
      </c>
    </row>
    <row r="10" spans="1:17" x14ac:dyDescent="0.25">
      <c r="A10">
        <f t="shared" si="0"/>
        <v>24</v>
      </c>
      <c r="B10" s="3">
        <f t="shared" si="1"/>
        <v>6</v>
      </c>
      <c r="C10" s="3">
        <f t="shared" si="2"/>
        <v>95</v>
      </c>
      <c r="D10" s="4">
        <f t="shared" si="3"/>
        <v>2.587408004453065</v>
      </c>
      <c r="E10" s="4">
        <f t="shared" si="4"/>
        <v>0.15067713792505028</v>
      </c>
      <c r="F10" s="4">
        <f t="shared" si="5"/>
        <v>1.6827575471208798</v>
      </c>
      <c r="G10" s="4">
        <f t="shared" si="6"/>
        <v>0.23168116727355725</v>
      </c>
      <c r="H10" s="4">
        <f t="shared" si="7"/>
        <v>2.5267656293486964</v>
      </c>
      <c r="I10" s="4">
        <f t="shared" si="8"/>
        <v>0.15429338923525146</v>
      </c>
      <c r="J10" s="4"/>
      <c r="K10">
        <f t="shared" si="9"/>
        <v>24</v>
      </c>
      <c r="L10" s="4">
        <v>9.9582927776684857E-2</v>
      </c>
      <c r="M10" s="4">
        <v>0.15311870974943062</v>
      </c>
    </row>
    <row r="11" spans="1:17" x14ac:dyDescent="0.25">
      <c r="A11">
        <f t="shared" si="0"/>
        <v>28</v>
      </c>
      <c r="B11" s="3">
        <f t="shared" si="1"/>
        <v>7</v>
      </c>
      <c r="C11" s="3">
        <f t="shared" si="2"/>
        <v>94</v>
      </c>
      <c r="D11" s="4">
        <f t="shared" si="3"/>
        <v>2.5601721307219805</v>
      </c>
      <c r="E11" s="4">
        <f t="shared" si="4"/>
        <v>0.17671705370519211</v>
      </c>
      <c r="F11" s="4">
        <f t="shared" si="5"/>
        <v>1.6650443097827656</v>
      </c>
      <c r="G11" s="4">
        <f t="shared" si="6"/>
        <v>0.27172014177710335</v>
      </c>
      <c r="H11" s="4">
        <f t="shared" si="7"/>
        <v>2.5001680964081836</v>
      </c>
      <c r="I11" s="4">
        <f t="shared" si="8"/>
        <v>0.18095826299411671</v>
      </c>
      <c r="J11" s="4"/>
      <c r="K11">
        <f t="shared" si="9"/>
        <v>28</v>
      </c>
      <c r="L11" s="4">
        <v>0.11658120613316633</v>
      </c>
      <c r="M11" s="4">
        <v>0.17925526255035654</v>
      </c>
    </row>
    <row r="12" spans="1:17" x14ac:dyDescent="0.25">
      <c r="A12">
        <f t="shared" si="0"/>
        <v>32</v>
      </c>
      <c r="B12" s="3">
        <f t="shared" si="1"/>
        <v>8</v>
      </c>
      <c r="C12" s="3">
        <f t="shared" si="2"/>
        <v>93</v>
      </c>
      <c r="D12" s="4">
        <f t="shared" si="3"/>
        <v>2.5329362569908951</v>
      </c>
      <c r="E12" s="4">
        <f t="shared" si="4"/>
        <v>0.2030369685797441</v>
      </c>
      <c r="F12" s="4">
        <f t="shared" si="5"/>
        <v>1.6473310724446508</v>
      </c>
      <c r="G12" s="4">
        <f t="shared" si="6"/>
        <v>0.31218964288821449</v>
      </c>
      <c r="H12" s="4">
        <f t="shared" si="7"/>
        <v>2.4735705634676712</v>
      </c>
      <c r="I12" s="4">
        <f t="shared" si="8"/>
        <v>0.20790985582565794</v>
      </c>
      <c r="J12" s="4"/>
      <c r="K12">
        <f t="shared" si="9"/>
        <v>32</v>
      </c>
      <c r="L12" s="4">
        <v>0.13369835356906376</v>
      </c>
      <c r="M12" s="4">
        <v>0.20557458844779244</v>
      </c>
    </row>
    <row r="13" spans="1:17" x14ac:dyDescent="0.25">
      <c r="A13">
        <f t="shared" si="0"/>
        <v>36</v>
      </c>
      <c r="B13" s="3">
        <f t="shared" si="1"/>
        <v>9</v>
      </c>
      <c r="C13" s="3">
        <f t="shared" si="2"/>
        <v>92</v>
      </c>
      <c r="D13" s="4">
        <f t="shared" si="3"/>
        <v>2.5057003832598106</v>
      </c>
      <c r="E13" s="4">
        <f t="shared" si="4"/>
        <v>0.22964296948554119</v>
      </c>
      <c r="F13" s="4">
        <f t="shared" si="5"/>
        <v>1.6296178351065365</v>
      </c>
      <c r="G13" s="4">
        <f t="shared" si="6"/>
        <v>0.35309902988096808</v>
      </c>
      <c r="H13" s="4">
        <f t="shared" si="7"/>
        <v>2.4469730305271584</v>
      </c>
      <c r="I13" s="4">
        <f t="shared" si="8"/>
        <v>0.23515440075319416</v>
      </c>
      <c r="J13" s="4"/>
      <c r="K13">
        <f t="shared" si="9"/>
        <v>36</v>
      </c>
      <c r="L13" s="4">
        <v>0.1509360442967633</v>
      </c>
      <c r="M13" s="4">
        <v>0.23207926171070326</v>
      </c>
    </row>
    <row r="14" spans="1:17" x14ac:dyDescent="0.25">
      <c r="A14">
        <f t="shared" si="0"/>
        <v>40</v>
      </c>
      <c r="B14" s="3">
        <f t="shared" si="1"/>
        <v>10</v>
      </c>
      <c r="C14" s="3">
        <f t="shared" si="2"/>
        <v>91</v>
      </c>
      <c r="D14" s="4">
        <f t="shared" si="3"/>
        <v>2.4784645095287252</v>
      </c>
      <c r="E14" s="4">
        <f t="shared" si="4"/>
        <v>0.25654134402766576</v>
      </c>
      <c r="F14" s="4">
        <f t="shared" si="5"/>
        <v>1.6119045977684217</v>
      </c>
      <c r="G14" s="4">
        <f t="shared" si="6"/>
        <v>0.39445797057693877</v>
      </c>
      <c r="H14" s="4">
        <f t="shared" si="7"/>
        <v>2.4203754975866461</v>
      </c>
      <c r="I14" s="4">
        <f t="shared" si="8"/>
        <v>0.2626983362843297</v>
      </c>
      <c r="J14" s="4"/>
      <c r="K14">
        <f t="shared" si="9"/>
        <v>40</v>
      </c>
      <c r="L14" s="4">
        <v>0.1682959881501912</v>
      </c>
      <c r="M14" s="4">
        <v>0.25877191137973399</v>
      </c>
    </row>
    <row r="15" spans="1:17" x14ac:dyDescent="0.25">
      <c r="A15">
        <f t="shared" si="0"/>
        <v>44</v>
      </c>
      <c r="B15" s="3">
        <f t="shared" si="1"/>
        <v>11</v>
      </c>
      <c r="C15" s="3">
        <f t="shared" si="2"/>
        <v>90</v>
      </c>
      <c r="D15" s="4">
        <f t="shared" si="3"/>
        <v>2.4512286357976407</v>
      </c>
      <c r="E15" s="4">
        <f t="shared" si="4"/>
        <v>0.28373858939803615</v>
      </c>
      <c r="F15" s="4">
        <f t="shared" si="5"/>
        <v>1.5941913604303075</v>
      </c>
      <c r="G15" s="4">
        <f t="shared" si="6"/>
        <v>0.43627645505842028</v>
      </c>
      <c r="H15" s="4">
        <f t="shared" si="7"/>
        <v>2.3937779646461332</v>
      </c>
      <c r="I15" s="4">
        <f t="shared" si="8"/>
        <v>0.29054831554358895</v>
      </c>
      <c r="J15" s="4"/>
      <c r="K15">
        <f t="shared" si="9"/>
        <v>44</v>
      </c>
      <c r="L15" s="4">
        <v>0.18577993160257217</v>
      </c>
      <c r="M15" s="4">
        <v>0.28565522283211492</v>
      </c>
    </row>
    <row r="16" spans="1:17" x14ac:dyDescent="0.25">
      <c r="A16">
        <f t="shared" si="0"/>
        <v>48</v>
      </c>
      <c r="B16" s="3">
        <f t="shared" si="1"/>
        <v>12</v>
      </c>
      <c r="C16" s="3">
        <f t="shared" si="2"/>
        <v>89</v>
      </c>
      <c r="D16" s="4">
        <f t="shared" si="3"/>
        <v>2.4239927620665558</v>
      </c>
      <c r="E16" s="4">
        <f t="shared" si="4"/>
        <v>0.31124142179503989</v>
      </c>
      <c r="F16" s="4">
        <f t="shared" si="5"/>
        <v>1.5764781230921929</v>
      </c>
      <c r="G16" s="4">
        <f t="shared" si="6"/>
        <v>0.47856481015205321</v>
      </c>
      <c r="H16" s="4">
        <f t="shared" si="7"/>
        <v>2.3671804317056204</v>
      </c>
      <c r="I16" s="4">
        <f t="shared" si="8"/>
        <v>0.31871121591812079</v>
      </c>
      <c r="J16" s="4"/>
      <c r="K16">
        <f t="shared" si="9"/>
        <v>48</v>
      </c>
      <c r="L16" s="4">
        <v>0.2033896588207976</v>
      </c>
      <c r="M16" s="4">
        <v>0.31273193940285832</v>
      </c>
    </row>
    <row r="17" spans="1:13" x14ac:dyDescent="0.25">
      <c r="A17">
        <f t="shared" si="0"/>
        <v>52</v>
      </c>
      <c r="B17" s="3">
        <f t="shared" si="1"/>
        <v>13</v>
      </c>
      <c r="C17" s="3">
        <f t="shared" si="2"/>
        <v>88</v>
      </c>
      <c r="D17" s="4">
        <f t="shared" si="3"/>
        <v>2.3967568883354708</v>
      </c>
      <c r="E17" s="4">
        <f t="shared" si="4"/>
        <v>0.33905678637837322</v>
      </c>
      <c r="F17" s="4">
        <f t="shared" si="5"/>
        <v>1.5587648857540783</v>
      </c>
      <c r="G17" s="4">
        <f t="shared" si="6"/>
        <v>0.52133371473538659</v>
      </c>
      <c r="H17" s="4">
        <f t="shared" si="7"/>
        <v>2.3405828987651081</v>
      </c>
      <c r="I17" s="4">
        <f t="shared" si="8"/>
        <v>0.34719414925145414</v>
      </c>
      <c r="J17" s="4"/>
      <c r="K17">
        <f t="shared" si="9"/>
        <v>52</v>
      </c>
      <c r="L17" s="4">
        <v>0.22112699275799566</v>
      </c>
      <c r="M17" s="4">
        <v>0.34000486406469405</v>
      </c>
    </row>
    <row r="18" spans="1:13" x14ac:dyDescent="0.25">
      <c r="A18">
        <f t="shared" si="0"/>
        <v>56</v>
      </c>
      <c r="B18" s="3">
        <f t="shared" si="1"/>
        <v>14</v>
      </c>
      <c r="C18" s="3">
        <f t="shared" si="2"/>
        <v>87</v>
      </c>
      <c r="D18" s="4">
        <f t="shared" si="3"/>
        <v>2.3695210146043859</v>
      </c>
      <c r="E18" s="4">
        <f t="shared" si="4"/>
        <v>0.36719186779599772</v>
      </c>
      <c r="F18" s="4">
        <f t="shared" si="5"/>
        <v>1.5410516484159638</v>
      </c>
      <c r="G18" s="4">
        <f t="shared" si="6"/>
        <v>0.56459421592312609</v>
      </c>
      <c r="H18" s="4">
        <f t="shared" si="7"/>
        <v>2.3139853658245952</v>
      </c>
      <c r="I18" s="4">
        <f t="shared" si="8"/>
        <v>0.37600447262310166</v>
      </c>
      <c r="J18" s="4"/>
      <c r="K18">
        <f t="shared" si="9"/>
        <v>56</v>
      </c>
      <c r="L18" s="4">
        <v>0.2389937962859762</v>
      </c>
      <c r="M18" s="4">
        <v>0.36747686116931694</v>
      </c>
    </row>
    <row r="19" spans="1:13" x14ac:dyDescent="0.25">
      <c r="A19">
        <f t="shared" si="0"/>
        <v>60</v>
      </c>
      <c r="B19" s="3">
        <f t="shared" si="1"/>
        <v>15</v>
      </c>
      <c r="C19" s="3">
        <f t="shared" si="2"/>
        <v>86</v>
      </c>
      <c r="D19" s="4">
        <f t="shared" si="3"/>
        <v>2.342285140873301</v>
      </c>
      <c r="E19" s="4">
        <f t="shared" si="4"/>
        <v>0.3956541013231295</v>
      </c>
      <c r="F19" s="4">
        <f t="shared" si="5"/>
        <v>1.5233384110778494</v>
      </c>
      <c r="G19" s="4">
        <f t="shared" si="6"/>
        <v>0.60835774619444394</v>
      </c>
      <c r="H19" s="4">
        <f t="shared" si="7"/>
        <v>2.2873878328840833</v>
      </c>
      <c r="I19" s="4">
        <f t="shared" si="8"/>
        <v>0.40514979975488463</v>
      </c>
      <c r="J19" s="4"/>
      <c r="K19">
        <f t="shared" si="9"/>
        <v>60</v>
      </c>
      <c r="L19" s="4">
        <v>0.25699197336930951</v>
      </c>
      <c r="M19" s="4">
        <v>0.39515085825265028</v>
      </c>
    </row>
    <row r="20" spans="1:13" x14ac:dyDescent="0.25">
      <c r="A20">
        <f t="shared" si="0"/>
        <v>64</v>
      </c>
      <c r="B20" s="3">
        <f t="shared" si="1"/>
        <v>16</v>
      </c>
      <c r="C20" s="3">
        <f t="shared" si="2"/>
        <v>85</v>
      </c>
      <c r="D20" s="4">
        <f t="shared" si="3"/>
        <v>2.3150492671422165</v>
      </c>
      <c r="E20" s="4">
        <f t="shared" si="4"/>
        <v>0.42445118465646281</v>
      </c>
      <c r="F20" s="4">
        <f t="shared" si="5"/>
        <v>1.5056251737397348</v>
      </c>
      <c r="G20" s="4">
        <f t="shared" si="6"/>
        <v>0.65263614152777727</v>
      </c>
      <c r="H20" s="4">
        <f t="shared" si="7"/>
        <v>2.2607902999435701</v>
      </c>
      <c r="I20" s="4">
        <f t="shared" si="8"/>
        <v>0.43463801308821798</v>
      </c>
      <c r="J20" s="4"/>
      <c r="K20">
        <f t="shared" si="9"/>
        <v>64</v>
      </c>
      <c r="L20" s="4">
        <v>0.27512347028288975</v>
      </c>
      <c r="M20" s="4">
        <v>0.42302984790697129</v>
      </c>
    </row>
    <row r="21" spans="1:13" x14ac:dyDescent="0.25">
      <c r="A21">
        <f t="shared" si="0"/>
        <v>68</v>
      </c>
      <c r="B21" s="3">
        <f t="shared" si="1"/>
        <v>17</v>
      </c>
      <c r="C21" s="3">
        <f t="shared" si="2"/>
        <v>84</v>
      </c>
      <c r="D21" s="4">
        <f t="shared" si="3"/>
        <v>2.2878133934111311</v>
      </c>
      <c r="E21" s="4">
        <f t="shared" si="4"/>
        <v>0.45359109041043105</v>
      </c>
      <c r="F21" s="4">
        <f t="shared" si="5"/>
        <v>1.4879119364016202</v>
      </c>
      <c r="G21" s="4">
        <f t="shared" si="6"/>
        <v>0.69744166061507884</v>
      </c>
      <c r="H21" s="4">
        <f t="shared" si="7"/>
        <v>2.2341927670030577</v>
      </c>
      <c r="I21" s="4">
        <f t="shared" si="8"/>
        <v>0.46447727658028148</v>
      </c>
      <c r="J21" s="4"/>
      <c r="K21">
        <f t="shared" si="9"/>
        <v>68</v>
      </c>
      <c r="L21" s="4">
        <v>0.29339027687492952</v>
      </c>
      <c r="M21" s="4">
        <v>0.45111688972289171</v>
      </c>
    </row>
    <row r="22" spans="1:13" x14ac:dyDescent="0.25">
      <c r="A22">
        <f t="shared" si="0"/>
        <v>72</v>
      </c>
      <c r="B22" s="3">
        <f t="shared" si="1"/>
        <v>18</v>
      </c>
      <c r="C22" s="3">
        <f t="shared" si="2"/>
        <v>83</v>
      </c>
      <c r="D22" s="4">
        <f t="shared" si="3"/>
        <v>2.2605775196800462</v>
      </c>
      <c r="E22" s="4">
        <f t="shared" si="4"/>
        <v>0.48308207936625436</v>
      </c>
      <c r="F22" s="4">
        <f t="shared" si="5"/>
        <v>1.4701986990635056</v>
      </c>
      <c r="G22" s="4">
        <f t="shared" si="6"/>
        <v>0.74278700523355279</v>
      </c>
      <c r="H22" s="4">
        <f t="shared" si="7"/>
        <v>2.2075952340625453</v>
      </c>
      <c r="I22" s="4">
        <f t="shared" si="8"/>
        <v>0.49467604927104453</v>
      </c>
      <c r="J22" s="4"/>
      <c r="K22">
        <f t="shared" si="9"/>
        <v>72</v>
      </c>
      <c r="L22" s="4">
        <v>0.31179442787743578</v>
      </c>
      <c r="M22" s="4">
        <v>0.47941511230434536</v>
      </c>
    </row>
    <row r="23" spans="1:13" x14ac:dyDescent="0.25">
      <c r="A23">
        <f t="shared" si="0"/>
        <v>76</v>
      </c>
      <c r="B23" s="3">
        <f t="shared" si="1"/>
        <v>19</v>
      </c>
      <c r="C23" s="3">
        <f t="shared" si="2"/>
        <v>82</v>
      </c>
      <c r="D23" s="4">
        <f t="shared" si="3"/>
        <v>2.2333416459489617</v>
      </c>
      <c r="E23" s="4">
        <f t="shared" si="4"/>
        <v>0.51293271452885603</v>
      </c>
      <c r="F23" s="4">
        <f t="shared" si="5"/>
        <v>1.4524854617253911</v>
      </c>
      <c r="G23" s="4">
        <f t="shared" si="6"/>
        <v>0.78868534185956907</v>
      </c>
      <c r="H23" s="4">
        <f t="shared" si="7"/>
        <v>2.1809977011220325</v>
      </c>
      <c r="I23" s="4">
        <f t="shared" si="8"/>
        <v>0.52524309967754856</v>
      </c>
      <c r="J23" s="4"/>
      <c r="K23">
        <f t="shared" si="9"/>
        <v>76</v>
      </c>
      <c r="L23" s="4">
        <v>0.33033800426632465</v>
      </c>
      <c r="M23" s="4">
        <v>0.50792771535990089</v>
      </c>
    </row>
    <row r="24" spans="1:13" x14ac:dyDescent="0.25">
      <c r="A24">
        <f t="shared" si="0"/>
        <v>80</v>
      </c>
      <c r="B24" s="3">
        <f t="shared" si="1"/>
        <v>20</v>
      </c>
      <c r="C24" s="3">
        <f t="shared" si="2"/>
        <v>81</v>
      </c>
      <c r="D24" s="4">
        <f t="shared" si="3"/>
        <v>2.2061057722178767</v>
      </c>
      <c r="E24" s="4">
        <f t="shared" si="4"/>
        <v>0.54315187605148973</v>
      </c>
      <c r="F24" s="4">
        <f t="shared" si="5"/>
        <v>1.4347722243872767</v>
      </c>
      <c r="G24" s="4">
        <f t="shared" si="6"/>
        <v>0.83515032461677075</v>
      </c>
      <c r="H24" s="4">
        <f t="shared" si="7"/>
        <v>2.1544001681815201</v>
      </c>
      <c r="I24" s="4">
        <f t="shared" si="8"/>
        <v>0.55618752107672553</v>
      </c>
      <c r="J24" s="4"/>
      <c r="K24">
        <f t="shared" si="9"/>
        <v>80</v>
      </c>
      <c r="L24" s="4">
        <v>0.34902313467344931</v>
      </c>
      <c r="M24" s="4">
        <v>0.53665797187389574</v>
      </c>
    </row>
    <row r="25" spans="1:13" x14ac:dyDescent="0.25">
      <c r="A25">
        <f t="shared" si="0"/>
        <v>84</v>
      </c>
      <c r="B25" s="3">
        <f t="shared" si="1"/>
        <v>21</v>
      </c>
      <c r="C25" s="3">
        <f t="shared" si="2"/>
        <v>80</v>
      </c>
      <c r="D25" s="4">
        <f t="shared" si="3"/>
        <v>2.1788698984867918</v>
      </c>
      <c r="E25" s="4">
        <f t="shared" si="4"/>
        <v>0.57374877709315641</v>
      </c>
      <c r="F25" s="4">
        <f t="shared" si="5"/>
        <v>1.4170589870491621</v>
      </c>
      <c r="G25" s="4">
        <f t="shared" si="6"/>
        <v>0.88219611965843736</v>
      </c>
      <c r="H25" s="4">
        <f t="shared" si="7"/>
        <v>2.1278026352410073</v>
      </c>
      <c r="I25" s="4">
        <f t="shared" si="8"/>
        <v>0.58751874774339219</v>
      </c>
      <c r="J25" s="4"/>
      <c r="K25">
        <f t="shared" si="9"/>
        <v>84</v>
      </c>
      <c r="L25" s="4">
        <v>0.36785199685293651</v>
      </c>
      <c r="M25" s="4">
        <v>0.56560923036107524</v>
      </c>
    </row>
    <row r="26" spans="1:13" x14ac:dyDescent="0.25">
      <c r="A26">
        <f t="shared" si="0"/>
        <v>88</v>
      </c>
      <c r="B26" s="3">
        <f t="shared" si="1"/>
        <v>22</v>
      </c>
      <c r="C26" s="3">
        <f t="shared" si="2"/>
        <v>79</v>
      </c>
      <c r="D26" s="4">
        <f t="shared" si="3"/>
        <v>2.1516340247557069</v>
      </c>
      <c r="E26" s="4">
        <f t="shared" si="4"/>
        <v>0.60473298067965431</v>
      </c>
      <c r="F26" s="4">
        <f t="shared" si="5"/>
        <v>1.3993457497110475</v>
      </c>
      <c r="G26" s="4">
        <f t="shared" si="6"/>
        <v>0.92983743109303651</v>
      </c>
      <c r="H26" s="4">
        <f t="shared" si="7"/>
        <v>2.101205102300495</v>
      </c>
      <c r="I26" s="4">
        <f t="shared" si="8"/>
        <v>0.61924657221596602</v>
      </c>
      <c r="J26" s="4"/>
      <c r="K26">
        <f t="shared" si="9"/>
        <v>88</v>
      </c>
      <c r="L26" s="4">
        <v>0.38682681920435769</v>
      </c>
      <c r="M26" s="4">
        <v>0.59478491720862048</v>
      </c>
    </row>
    <row r="27" spans="1:13" x14ac:dyDescent="0.25">
      <c r="A27">
        <f t="shared" si="0"/>
        <v>92</v>
      </c>
      <c r="B27" s="3">
        <f t="shared" si="1"/>
        <v>23</v>
      </c>
      <c r="C27" s="3">
        <f t="shared" si="2"/>
        <v>78</v>
      </c>
      <c r="D27" s="4">
        <f t="shared" si="3"/>
        <v>2.1243981510246219</v>
      </c>
      <c r="E27" s="4">
        <f t="shared" si="4"/>
        <v>0.63611441764546628</v>
      </c>
      <c r="F27" s="4">
        <f t="shared" si="5"/>
        <v>1.3816325123729332</v>
      </c>
      <c r="G27" s="4">
        <f t="shared" si="6"/>
        <v>0.97808952857166898</v>
      </c>
      <c r="H27" s="4">
        <f t="shared" si="7"/>
        <v>2.0746075693599821</v>
      </c>
      <c r="I27" s="4">
        <f t="shared" si="8"/>
        <v>0.65138116366895749</v>
      </c>
      <c r="J27" s="4"/>
      <c r="K27">
        <f t="shared" si="9"/>
        <v>92</v>
      </c>
      <c r="L27" s="4">
        <v>0.40594988235539936</v>
      </c>
      <c r="M27" s="4">
        <v>0.6241885391096621</v>
      </c>
    </row>
    <row r="28" spans="1:13" x14ac:dyDescent="0.25">
      <c r="A28">
        <f t="shared" si="0"/>
        <v>96</v>
      </c>
      <c r="B28" s="3">
        <f t="shared" si="1"/>
        <v>24</v>
      </c>
      <c r="C28" s="3">
        <f t="shared" si="2"/>
        <v>77</v>
      </c>
      <c r="D28" s="4">
        <f t="shared" si="3"/>
        <v>2.097162277293537</v>
      </c>
      <c r="E28" s="4">
        <f t="shared" si="4"/>
        <v>0.66790340574070439</v>
      </c>
      <c r="F28" s="4">
        <f t="shared" si="5"/>
        <v>1.3639192750348186</v>
      </c>
      <c r="G28" s="4">
        <f t="shared" si="6"/>
        <v>1.026968276666907</v>
      </c>
      <c r="H28" s="4">
        <f t="shared" si="7"/>
        <v>2.0480100364194698</v>
      </c>
      <c r="I28" s="4">
        <f t="shared" si="8"/>
        <v>0.68393308747848125</v>
      </c>
      <c r="J28" s="4"/>
      <c r="K28">
        <f t="shared" si="9"/>
        <v>96</v>
      </c>
      <c r="L28" s="4">
        <v>0.42522352080684295</v>
      </c>
      <c r="M28" s="4">
        <v>0.65382368559260173</v>
      </c>
    </row>
    <row r="29" spans="1:13" x14ac:dyDescent="0.25">
      <c r="A29">
        <f>A28+4</f>
        <v>100</v>
      </c>
      <c r="B29" s="3">
        <f>B28+1</f>
        <v>25</v>
      </c>
      <c r="C29" s="3">
        <f>C28-1</f>
        <v>76</v>
      </c>
      <c r="D29" s="4">
        <f>C29/7.48/3600/((0.25/12)^2*3.1415)</f>
        <v>2.0699264035624521</v>
      </c>
      <c r="E29" s="4">
        <f>4/D29/60+E28</f>
        <v>0.70011066999509031</v>
      </c>
      <c r="F29" s="4">
        <f>C29/7.48/3600/((0.31/12)^2*3.1415)</f>
        <v>1.346206037696704</v>
      </c>
      <c r="G29" s="4">
        <f>4/F29/60+G28</f>
        <v>1.0764901661844508</v>
      </c>
      <c r="H29" s="4">
        <f t="shared" si="7"/>
        <v>2.021412503478957</v>
      </c>
      <c r="I29" s="4">
        <f>4/H29/60+I28</f>
        <v>0.71691332607497249</v>
      </c>
      <c r="J29" s="4"/>
      <c r="K29">
        <f>K28+4</f>
        <v>100</v>
      </c>
      <c r="L29" s="4">
        <v>0.44465012464282178</v>
      </c>
      <c r="M29" s="4">
        <v>0.68369403165080278</v>
      </c>
    </row>
    <row r="30" spans="1:13" x14ac:dyDescent="0.25">
      <c r="A30">
        <f t="shared" ref="A30:A93" si="10">A29+4</f>
        <v>104</v>
      </c>
      <c r="B30" s="3">
        <f t="shared" ref="B30:B93" si="11">B29+1</f>
        <v>26</v>
      </c>
      <c r="C30" s="3">
        <f t="shared" ref="C30:C93" si="12">C29-1</f>
        <v>75</v>
      </c>
      <c r="D30" s="4">
        <f t="shared" ref="D30:D93" si="13">C30/7.48/3600/((0.25/12)^2*3.1415)</f>
        <v>2.0426905298313671</v>
      </c>
      <c r="E30" s="4">
        <f t="shared" ref="E30:E93" si="14">4/D30/60+E29</f>
        <v>0.73274736443953481</v>
      </c>
      <c r="F30" s="4">
        <f t="shared" ref="F30:F93" si="15">C30/7.48/3600/((0.31/12)^2*3.1415)</f>
        <v>1.3284928003585894</v>
      </c>
      <c r="G30" s="4">
        <f t="shared" ref="G30:G93" si="16">4/F30/60+G29</f>
        <v>1.1266723475622287</v>
      </c>
      <c r="H30" s="4">
        <f t="shared" si="7"/>
        <v>1.9948149705384446</v>
      </c>
      <c r="I30" s="4">
        <f t="shared" ref="I30:I93" si="17">4/H30/60+I29</f>
        <v>0.75033330118608366</v>
      </c>
      <c r="K30">
        <f t="shared" ref="K30:K93" si="18">K29+4</f>
        <v>104</v>
      </c>
      <c r="L30" s="4">
        <v>0.46423214130948842</v>
      </c>
      <c r="M30" s="4">
        <v>0.71380334047746941</v>
      </c>
    </row>
    <row r="31" spans="1:13" x14ac:dyDescent="0.25">
      <c r="A31">
        <f t="shared" si="10"/>
        <v>108</v>
      </c>
      <c r="B31" s="3">
        <f t="shared" si="11"/>
        <v>27</v>
      </c>
      <c r="C31" s="3">
        <f t="shared" si="12"/>
        <v>74</v>
      </c>
      <c r="D31" s="4">
        <f t="shared" si="13"/>
        <v>2.0154546561002826</v>
      </c>
      <c r="E31" s="4">
        <f t="shared" si="14"/>
        <v>0.76582509529539067</v>
      </c>
      <c r="F31" s="4">
        <f t="shared" si="15"/>
        <v>1.310779563020475</v>
      </c>
      <c r="G31" s="4">
        <f t="shared" si="16"/>
        <v>1.1775326665261927</v>
      </c>
      <c r="H31" s="4">
        <f t="shared" si="7"/>
        <v>1.968217437597932</v>
      </c>
      <c r="I31" s="4">
        <f t="shared" si="17"/>
        <v>0.78420489758248002</v>
      </c>
      <c r="K31">
        <f t="shared" si="18"/>
        <v>108</v>
      </c>
      <c r="L31" s="4">
        <v>0.48397207746540238</v>
      </c>
      <c r="M31" s="4">
        <v>0.74415546631080276</v>
      </c>
    </row>
    <row r="32" spans="1:13" x14ac:dyDescent="0.25">
      <c r="A32">
        <f t="shared" si="10"/>
        <v>112</v>
      </c>
      <c r="B32" s="3">
        <f t="shared" si="11"/>
        <v>28</v>
      </c>
      <c r="C32" s="3">
        <f t="shared" si="12"/>
        <v>73</v>
      </c>
      <c r="D32" s="4">
        <f t="shared" si="13"/>
        <v>1.9882187823691975</v>
      </c>
      <c r="E32" s="4">
        <f t="shared" si="14"/>
        <v>0.79935594575201163</v>
      </c>
      <c r="F32" s="4">
        <f t="shared" si="15"/>
        <v>1.2930663256823605</v>
      </c>
      <c r="G32" s="4">
        <f t="shared" si="16"/>
        <v>1.2290897021882932</v>
      </c>
      <c r="H32" s="4">
        <f t="shared" si="7"/>
        <v>1.9416199046574194</v>
      </c>
      <c r="I32" s="4">
        <f t="shared" si="17"/>
        <v>0.81854048845005989</v>
      </c>
      <c r="K32">
        <f t="shared" si="18"/>
        <v>112</v>
      </c>
      <c r="L32" s="4">
        <v>0.50387250090713676</v>
      </c>
      <c r="M32" s="4">
        <v>0.77475435739481358</v>
      </c>
    </row>
    <row r="33" spans="1:13" x14ac:dyDescent="0.25">
      <c r="A33">
        <f t="shared" si="10"/>
        <v>116</v>
      </c>
      <c r="B33" s="3">
        <f t="shared" si="11"/>
        <v>29</v>
      </c>
      <c r="C33" s="3">
        <f t="shared" si="12"/>
        <v>72</v>
      </c>
      <c r="D33" s="4">
        <f t="shared" si="13"/>
        <v>1.9609829086381125</v>
      </c>
      <c r="E33" s="4">
        <f t="shared" si="14"/>
        <v>0.83335250246497461</v>
      </c>
      <c r="F33" s="4">
        <f t="shared" si="15"/>
        <v>1.2753530883442459</v>
      </c>
      <c r="G33" s="4">
        <f t="shared" si="16"/>
        <v>1.2813628077901451</v>
      </c>
      <c r="H33" s="4">
        <f t="shared" si="7"/>
        <v>1.9150223717169068</v>
      </c>
      <c r="I33" s="4">
        <f t="shared" si="17"/>
        <v>0.85335296252413395</v>
      </c>
      <c r="K33">
        <f t="shared" si="18"/>
        <v>116</v>
      </c>
      <c r="L33" s="4">
        <v>0.52393604257380344</v>
      </c>
      <c r="M33" s="4">
        <v>0.80560405906148025</v>
      </c>
    </row>
    <row r="34" spans="1:13" x14ac:dyDescent="0.25">
      <c r="A34">
        <f t="shared" si="10"/>
        <v>120</v>
      </c>
      <c r="B34" s="3">
        <f t="shared" si="11"/>
        <v>30</v>
      </c>
      <c r="C34" s="3">
        <f t="shared" si="12"/>
        <v>71</v>
      </c>
      <c r="D34" s="4">
        <f t="shared" si="13"/>
        <v>1.9337470349070276</v>
      </c>
      <c r="E34" s="4">
        <f t="shared" si="14"/>
        <v>0.86782788392037369</v>
      </c>
      <c r="F34" s="4">
        <f t="shared" si="15"/>
        <v>1.2576398510061315</v>
      </c>
      <c r="G34" s="4">
        <f t="shared" si="16"/>
        <v>1.3343721543159668</v>
      </c>
      <c r="H34" s="4">
        <f t="shared" si="7"/>
        <v>1.888424838776394</v>
      </c>
      <c r="I34" s="4">
        <f t="shared" si="17"/>
        <v>0.88865575313446254</v>
      </c>
      <c r="K34">
        <f t="shared" si="18"/>
        <v>120</v>
      </c>
      <c r="L34" s="4">
        <v>0.54416539863440949</v>
      </c>
      <c r="M34" s="4">
        <v>0.83670871694026816</v>
      </c>
    </row>
    <row r="35" spans="1:13" x14ac:dyDescent="0.25">
      <c r="A35">
        <f t="shared" si="10"/>
        <v>124</v>
      </c>
      <c r="B35" s="3">
        <f t="shared" si="11"/>
        <v>31</v>
      </c>
      <c r="C35" s="3">
        <f t="shared" si="12"/>
        <v>70</v>
      </c>
      <c r="D35" s="4">
        <f t="shared" si="13"/>
        <v>1.9065111611759427</v>
      </c>
      <c r="E35" s="4">
        <f t="shared" si="14"/>
        <v>0.90279577082513562</v>
      </c>
      <c r="F35" s="4">
        <f t="shared" si="15"/>
        <v>1.2399266136680167</v>
      </c>
      <c r="G35" s="4">
        <f t="shared" si="16"/>
        <v>1.3881387772207288</v>
      </c>
      <c r="H35" s="4">
        <f t="shared" si="7"/>
        <v>1.8618273058358816</v>
      </c>
      <c r="I35" s="4">
        <f t="shared" si="17"/>
        <v>0.92446286932493871</v>
      </c>
      <c r="K35">
        <f t="shared" si="18"/>
        <v>124</v>
      </c>
      <c r="L35" s="4">
        <v>0.56456333266218728</v>
      </c>
      <c r="M35" s="4">
        <v>0.86807258030137924</v>
      </c>
    </row>
    <row r="36" spans="1:13" x14ac:dyDescent="0.25">
      <c r="A36">
        <f t="shared" si="10"/>
        <v>128</v>
      </c>
      <c r="B36" s="3">
        <f t="shared" si="11"/>
        <v>32</v>
      </c>
      <c r="C36" s="3">
        <f t="shared" si="12"/>
        <v>69</v>
      </c>
      <c r="D36" s="4">
        <f t="shared" si="13"/>
        <v>1.8792752874448579</v>
      </c>
      <c r="E36" s="4">
        <f t="shared" si="14"/>
        <v>0.93827043869953175</v>
      </c>
      <c r="F36" s="4">
        <f t="shared" si="15"/>
        <v>1.2222133763299023</v>
      </c>
      <c r="G36" s="4">
        <f t="shared" si="16"/>
        <v>1.4426846265444002</v>
      </c>
      <c r="H36" s="4">
        <f t="shared" si="7"/>
        <v>1.8352297728953688</v>
      </c>
      <c r="I36" s="4">
        <f t="shared" si="17"/>
        <v>0.96078892922832038</v>
      </c>
      <c r="K36">
        <f t="shared" si="18"/>
        <v>128</v>
      </c>
      <c r="L36" s="4">
        <v>0.58513267790028256</v>
      </c>
      <c r="M36" s="4">
        <v>0.89970000553947449</v>
      </c>
    </row>
    <row r="37" spans="1:13" x14ac:dyDescent="0.25">
      <c r="A37">
        <f t="shared" si="10"/>
        <v>132</v>
      </c>
      <c r="B37" s="3">
        <f t="shared" si="11"/>
        <v>33</v>
      </c>
      <c r="C37" s="3">
        <f t="shared" si="12"/>
        <v>68</v>
      </c>
      <c r="D37" s="4">
        <f t="shared" si="13"/>
        <v>1.8520394137137728</v>
      </c>
      <c r="E37" s="4">
        <f t="shared" si="14"/>
        <v>0.97426679286619844</v>
      </c>
      <c r="F37" s="4">
        <f t="shared" si="15"/>
        <v>1.2045001389917878</v>
      </c>
      <c r="G37" s="4">
        <f t="shared" si="16"/>
        <v>1.4980326207110668</v>
      </c>
      <c r="H37" s="4">
        <f t="shared" si="7"/>
        <v>1.8086322399548564</v>
      </c>
      <c r="I37" s="4">
        <f t="shared" si="17"/>
        <v>0.99764919589498702</v>
      </c>
      <c r="K37">
        <f t="shared" si="18"/>
        <v>132</v>
      </c>
      <c r="L37" s="4">
        <v>0.60587633962344645</v>
      </c>
      <c r="M37" s="4">
        <v>0.93159545980501124</v>
      </c>
    </row>
    <row r="38" spans="1:13" x14ac:dyDescent="0.25">
      <c r="A38">
        <f t="shared" si="10"/>
        <v>136</v>
      </c>
      <c r="B38" s="3">
        <f t="shared" si="11"/>
        <v>34</v>
      </c>
      <c r="C38" s="3">
        <f t="shared" si="12"/>
        <v>67</v>
      </c>
      <c r="D38" s="4">
        <f t="shared" si="13"/>
        <v>1.8248035399826881</v>
      </c>
      <c r="E38" s="4">
        <f t="shared" si="14"/>
        <v>1.010800406050278</v>
      </c>
      <c r="F38" s="4">
        <f t="shared" si="15"/>
        <v>1.1867869016536732</v>
      </c>
      <c r="G38" s="4">
        <f t="shared" si="16"/>
        <v>1.5542067043429075</v>
      </c>
      <c r="H38" s="4">
        <f t="shared" si="7"/>
        <v>1.7820347070143436</v>
      </c>
      <c r="I38" s="4">
        <f t="shared" si="17"/>
        <v>1.0350596157954846</v>
      </c>
      <c r="K38">
        <f t="shared" si="18"/>
        <v>136</v>
      </c>
      <c r="L38" s="4">
        <v>0.62679729760065439</v>
      </c>
      <c r="M38" s="4">
        <v>0.96376352479076621</v>
      </c>
    </row>
    <row r="39" spans="1:13" x14ac:dyDescent="0.25">
      <c r="A39">
        <f t="shared" si="10"/>
        <v>140</v>
      </c>
      <c r="B39" s="3">
        <f t="shared" si="11"/>
        <v>35</v>
      </c>
      <c r="C39" s="3">
        <f t="shared" si="12"/>
        <v>66</v>
      </c>
      <c r="D39" s="4">
        <f t="shared" si="13"/>
        <v>1.7975676662516029</v>
      </c>
      <c r="E39" s="4">
        <f t="shared" si="14"/>
        <v>1.0478875588280558</v>
      </c>
      <c r="F39" s="4">
        <f t="shared" si="15"/>
        <v>1.1690736643155586</v>
      </c>
      <c r="G39" s="4">
        <f t="shared" si="16"/>
        <v>1.6112319104540187</v>
      </c>
      <c r="H39" s="4">
        <f t="shared" si="7"/>
        <v>1.7554371740738313</v>
      </c>
      <c r="I39" s="4">
        <f t="shared" si="17"/>
        <v>1.0730368602399289</v>
      </c>
      <c r="K39">
        <f t="shared" si="18"/>
        <v>140</v>
      </c>
      <c r="L39" s="4">
        <v>0.64789860866387283</v>
      </c>
      <c r="M39" s="4">
        <v>0.99620890068157086</v>
      </c>
    </row>
    <row r="40" spans="1:13" x14ac:dyDescent="0.25">
      <c r="A40">
        <f t="shared" si="10"/>
        <v>144</v>
      </c>
      <c r="B40" s="3">
        <f t="shared" si="11"/>
        <v>36</v>
      </c>
      <c r="C40" s="3">
        <f t="shared" si="12"/>
        <v>65</v>
      </c>
      <c r="D40" s="4">
        <f t="shared" si="13"/>
        <v>1.7703317925205184</v>
      </c>
      <c r="E40" s="4">
        <f t="shared" si="14"/>
        <v>1.0855452831870303</v>
      </c>
      <c r="F40" s="4">
        <f t="shared" si="15"/>
        <v>1.1513604269774442</v>
      </c>
      <c r="G40" s="4">
        <f t="shared" si="16"/>
        <v>1.6691344274283777</v>
      </c>
      <c r="H40" s="4">
        <f t="shared" si="7"/>
        <v>1.7288396411333187</v>
      </c>
      <c r="I40" s="4">
        <f t="shared" si="17"/>
        <v>1.1115983699835188</v>
      </c>
      <c r="K40">
        <f t="shared" si="18"/>
        <v>144</v>
      </c>
      <c r="L40" s="4">
        <v>0.66918340938851051</v>
      </c>
      <c r="M40" s="4">
        <v>1.0289364102757739</v>
      </c>
    </row>
    <row r="41" spans="1:13" x14ac:dyDescent="0.25">
      <c r="A41">
        <f t="shared" si="10"/>
        <v>148</v>
      </c>
      <c r="B41" s="3">
        <f t="shared" si="11"/>
        <v>37</v>
      </c>
      <c r="C41" s="3">
        <f t="shared" si="12"/>
        <v>64</v>
      </c>
      <c r="D41" s="4">
        <f t="shared" si="13"/>
        <v>1.7430959187894333</v>
      </c>
      <c r="E41" s="4">
        <f t="shared" si="14"/>
        <v>1.1237914094891135</v>
      </c>
      <c r="F41" s="4">
        <f t="shared" si="15"/>
        <v>1.1336471896393296</v>
      </c>
      <c r="G41" s="4">
        <f t="shared" si="16"/>
        <v>1.7279416712304609</v>
      </c>
      <c r="H41" s="4">
        <f t="shared" si="7"/>
        <v>1.7022421081928061</v>
      </c>
      <c r="I41" s="4">
        <f t="shared" si="17"/>
        <v>1.1507624033168522</v>
      </c>
      <c r="K41">
        <f t="shared" si="18"/>
        <v>148</v>
      </c>
      <c r="L41" s="4">
        <v>0.69065491889143449</v>
      </c>
      <c r="M41" s="4">
        <v>1.0619510032874697</v>
      </c>
    </row>
    <row r="42" spans="1:13" x14ac:dyDescent="0.25">
      <c r="A42">
        <f t="shared" si="10"/>
        <v>152</v>
      </c>
      <c r="B42" s="3">
        <f t="shared" si="11"/>
        <v>38</v>
      </c>
      <c r="C42" s="3">
        <f t="shared" si="12"/>
        <v>63</v>
      </c>
      <c r="D42" s="4">
        <f t="shared" si="13"/>
        <v>1.7158600450583483</v>
      </c>
      <c r="E42" s="4">
        <f t="shared" si="14"/>
        <v>1.1626446171610711</v>
      </c>
      <c r="F42" s="4">
        <f t="shared" si="15"/>
        <v>1.1159339523012151</v>
      </c>
      <c r="G42" s="4">
        <f t="shared" si="16"/>
        <v>1.787682363346863</v>
      </c>
      <c r="H42" s="4">
        <f t="shared" si="7"/>
        <v>1.6756445752522935</v>
      </c>
      <c r="I42" s="4">
        <f t="shared" si="17"/>
        <v>1.1905480879729369</v>
      </c>
      <c r="K42">
        <f t="shared" si="18"/>
        <v>152</v>
      </c>
      <c r="L42" s="4">
        <v>0.71231644175279141</v>
      </c>
      <c r="M42" s="4">
        <v>1.0952577608390921</v>
      </c>
    </row>
    <row r="43" spans="1:13" x14ac:dyDescent="0.25">
      <c r="A43">
        <f t="shared" si="10"/>
        <v>156</v>
      </c>
      <c r="B43" s="3">
        <f t="shared" si="11"/>
        <v>39</v>
      </c>
      <c r="C43" s="3">
        <f t="shared" si="12"/>
        <v>62</v>
      </c>
      <c r="D43" s="4">
        <f t="shared" si="13"/>
        <v>1.6886241713272636</v>
      </c>
      <c r="E43" s="4">
        <f t="shared" si="14"/>
        <v>1.2021244894728991</v>
      </c>
      <c r="F43" s="4">
        <f t="shared" si="15"/>
        <v>1.0982207149631007</v>
      </c>
      <c r="G43" s="4">
        <f t="shared" si="16"/>
        <v>1.8483866150135297</v>
      </c>
      <c r="H43" s="4">
        <f t="shared" si="7"/>
        <v>1.6490470423117807</v>
      </c>
      <c r="I43" s="4">
        <f t="shared" si="17"/>
        <v>1.2309754772202488</v>
      </c>
      <c r="K43">
        <f t="shared" si="18"/>
        <v>156</v>
      </c>
      <c r="L43" s="4">
        <v>0.73417137106826758</v>
      </c>
      <c r="M43" s="4">
        <v>1.1288619001545683</v>
      </c>
    </row>
    <row r="44" spans="1:13" x14ac:dyDescent="0.25">
      <c r="A44">
        <f t="shared" si="10"/>
        <v>160</v>
      </c>
      <c r="B44" s="3">
        <f t="shared" si="11"/>
        <v>40</v>
      </c>
      <c r="C44" s="3">
        <f t="shared" si="12"/>
        <v>61</v>
      </c>
      <c r="D44" s="4">
        <f t="shared" si="13"/>
        <v>1.6613882975961787</v>
      </c>
      <c r="E44" s="4">
        <f t="shared" si="14"/>
        <v>1.2422515728062324</v>
      </c>
      <c r="F44" s="4">
        <f t="shared" si="15"/>
        <v>1.0805074776249861</v>
      </c>
      <c r="G44" s="4">
        <f t="shared" si="16"/>
        <v>1.9100860183468631</v>
      </c>
      <c r="H44" s="4">
        <f t="shared" si="7"/>
        <v>1.6224495093712683</v>
      </c>
      <c r="I44" s="4">
        <f t="shared" si="17"/>
        <v>1.2720656105535821</v>
      </c>
      <c r="K44">
        <f t="shared" si="18"/>
        <v>160</v>
      </c>
      <c r="L44" s="4">
        <v>0.75622319163883811</v>
      </c>
      <c r="M44" s="4">
        <v>1.1627687794638777</v>
      </c>
    </row>
    <row r="45" spans="1:13" x14ac:dyDescent="0.25">
      <c r="A45">
        <f t="shared" si="10"/>
        <v>164</v>
      </c>
      <c r="B45" s="3">
        <f t="shared" si="11"/>
        <v>41</v>
      </c>
      <c r="C45" s="3">
        <f t="shared" si="12"/>
        <v>60</v>
      </c>
      <c r="D45" s="4">
        <f t="shared" si="13"/>
        <v>1.634152423865094</v>
      </c>
      <c r="E45" s="4">
        <f t="shared" si="14"/>
        <v>1.283047440861788</v>
      </c>
      <c r="F45" s="4">
        <f t="shared" si="15"/>
        <v>1.0627942402868717</v>
      </c>
      <c r="G45" s="4">
        <f t="shared" si="16"/>
        <v>1.9728137450690852</v>
      </c>
      <c r="H45" s="4">
        <f t="shared" si="7"/>
        <v>1.5958519764307555</v>
      </c>
      <c r="I45" s="4">
        <f t="shared" si="17"/>
        <v>1.313840579442471</v>
      </c>
      <c r="K45">
        <f t="shared" si="18"/>
        <v>164</v>
      </c>
      <c r="L45" s="4">
        <v>0.77847548330550476</v>
      </c>
      <c r="M45" s="4">
        <v>1.1969839031305443</v>
      </c>
    </row>
    <row r="46" spans="1:13" x14ac:dyDescent="0.25">
      <c r="A46">
        <f t="shared" si="10"/>
        <v>168</v>
      </c>
      <c r="B46" s="3">
        <f t="shared" si="11"/>
        <v>42</v>
      </c>
      <c r="C46" s="3">
        <f t="shared" si="12"/>
        <v>59</v>
      </c>
      <c r="D46" s="4">
        <f t="shared" si="13"/>
        <v>1.6069165501340088</v>
      </c>
      <c r="E46" s="4">
        <f t="shared" si="14"/>
        <v>1.3245347643081158</v>
      </c>
      <c r="F46" s="4">
        <f t="shared" si="15"/>
        <v>1.0450810029487569</v>
      </c>
      <c r="G46" s="4">
        <f t="shared" si="16"/>
        <v>2.0366046536001585</v>
      </c>
      <c r="H46" s="4">
        <f t="shared" si="7"/>
        <v>1.5692544434902431</v>
      </c>
      <c r="I46" s="4">
        <f t="shared" si="17"/>
        <v>1.3563235986515105</v>
      </c>
      <c r="K46">
        <f t="shared" si="18"/>
        <v>168</v>
      </c>
      <c r="L46" s="4">
        <v>0.80093192443700323</v>
      </c>
      <c r="M46" s="4">
        <v>1.2315129270143363</v>
      </c>
    </row>
    <row r="47" spans="1:13" x14ac:dyDescent="0.25">
      <c r="A47">
        <f t="shared" si="10"/>
        <v>172</v>
      </c>
      <c r="B47" s="3">
        <f t="shared" si="11"/>
        <v>43</v>
      </c>
      <c r="C47" s="3">
        <f t="shared" si="12"/>
        <v>58</v>
      </c>
      <c r="D47" s="4">
        <f t="shared" si="13"/>
        <v>1.5796806764029239</v>
      </c>
      <c r="E47" s="4">
        <f t="shared" si="14"/>
        <v>1.3667373864345527</v>
      </c>
      <c r="F47" s="4">
        <f t="shared" si="15"/>
        <v>1.0273677656106426</v>
      </c>
      <c r="G47" s="4">
        <f t="shared" si="16"/>
        <v>2.1014954053817676</v>
      </c>
      <c r="H47" s="4">
        <f t="shared" si="7"/>
        <v>1.5426569105497303</v>
      </c>
      <c r="I47" s="4">
        <f t="shared" si="17"/>
        <v>1.3995390837089818</v>
      </c>
      <c r="K47">
        <f t="shared" si="18"/>
        <v>172</v>
      </c>
      <c r="L47" s="4">
        <v>0.82359629557897851</v>
      </c>
      <c r="M47" s="4">
        <v>1.2663616640822375</v>
      </c>
    </row>
    <row r="48" spans="1:13" x14ac:dyDescent="0.25">
      <c r="A48">
        <f t="shared" si="10"/>
        <v>176</v>
      </c>
      <c r="B48" s="3">
        <f t="shared" si="11"/>
        <v>44</v>
      </c>
      <c r="C48" s="3">
        <f t="shared" si="12"/>
        <v>57</v>
      </c>
      <c r="D48" s="4">
        <f t="shared" si="13"/>
        <v>1.5524448026718392</v>
      </c>
      <c r="E48" s="4">
        <f t="shared" si="14"/>
        <v>1.4096804054404006</v>
      </c>
      <c r="F48" s="4">
        <f t="shared" si="15"/>
        <v>1.009654528272528</v>
      </c>
      <c r="G48" s="4">
        <f t="shared" si="16"/>
        <v>2.1675245914051593</v>
      </c>
      <c r="H48" s="4">
        <f t="shared" si="7"/>
        <v>1.5160593776092179</v>
      </c>
      <c r="I48" s="4">
        <f t="shared" si="17"/>
        <v>1.4435127351709702</v>
      </c>
      <c r="K48">
        <f t="shared" si="18"/>
        <v>176</v>
      </c>
      <c r="L48" s="4">
        <v>0.84647248327368252</v>
      </c>
      <c r="M48" s="4">
        <v>1.3015360902816144</v>
      </c>
    </row>
    <row r="49" spans="1:13" x14ac:dyDescent="0.25">
      <c r="A49">
        <f t="shared" si="10"/>
        <v>180</v>
      </c>
      <c r="B49" s="3">
        <f t="shared" si="11"/>
        <v>45</v>
      </c>
      <c r="C49" s="3">
        <f t="shared" si="12"/>
        <v>56</v>
      </c>
      <c r="D49" s="4">
        <f t="shared" si="13"/>
        <v>1.5252089289407542</v>
      </c>
      <c r="E49" s="4">
        <f t="shared" si="14"/>
        <v>1.453390264071353</v>
      </c>
      <c r="F49" s="4">
        <f t="shared" si="15"/>
        <v>0.99194129093441352</v>
      </c>
      <c r="G49" s="4">
        <f t="shared" si="16"/>
        <v>2.2347328700361118</v>
      </c>
      <c r="H49" s="4">
        <f t="shared" si="7"/>
        <v>1.4894618446687051</v>
      </c>
      <c r="I49" s="4">
        <f t="shared" si="17"/>
        <v>1.4882716304090655</v>
      </c>
      <c r="K49">
        <f t="shared" si="18"/>
        <v>180</v>
      </c>
      <c r="L49" s="4">
        <v>0.86956448405984599</v>
      </c>
      <c r="M49" s="4">
        <v>1.3370423506904194</v>
      </c>
    </row>
    <row r="50" spans="1:13" x14ac:dyDescent="0.25">
      <c r="A50">
        <f t="shared" si="10"/>
        <v>184</v>
      </c>
      <c r="B50" s="3">
        <f t="shared" si="11"/>
        <v>46</v>
      </c>
      <c r="C50" s="3">
        <f t="shared" si="12"/>
        <v>55</v>
      </c>
      <c r="D50" s="4">
        <f t="shared" si="13"/>
        <v>1.4979730552096691</v>
      </c>
      <c r="E50" s="4">
        <f t="shared" si="14"/>
        <v>1.4978948474046863</v>
      </c>
      <c r="F50" s="4">
        <f t="shared" si="15"/>
        <v>0.97422805359629883</v>
      </c>
      <c r="G50" s="4">
        <f t="shared" si="16"/>
        <v>2.3031631173694449</v>
      </c>
      <c r="H50" s="4">
        <f t="shared" si="7"/>
        <v>1.4628643117281928</v>
      </c>
      <c r="I50" s="4">
        <f t="shared" si="17"/>
        <v>1.5338443237423989</v>
      </c>
      <c r="K50">
        <f t="shared" si="18"/>
        <v>184</v>
      </c>
      <c r="L50" s="4">
        <v>0.89287640866302054</v>
      </c>
      <c r="M50" s="4">
        <v>1.3728867659602606</v>
      </c>
    </row>
    <row r="51" spans="1:13" x14ac:dyDescent="0.25">
      <c r="A51">
        <f t="shared" si="10"/>
        <v>188</v>
      </c>
      <c r="B51" s="3">
        <f t="shared" si="11"/>
        <v>47</v>
      </c>
      <c r="C51" s="3">
        <f t="shared" si="12"/>
        <v>54</v>
      </c>
      <c r="D51" s="4">
        <f t="shared" si="13"/>
        <v>1.4707371814785843</v>
      </c>
      <c r="E51" s="4">
        <f t="shared" si="14"/>
        <v>1.5432235896886368</v>
      </c>
      <c r="F51" s="4">
        <f t="shared" si="15"/>
        <v>0.95651481625818435</v>
      </c>
      <c r="G51" s="4">
        <f t="shared" si="16"/>
        <v>2.3728605915052472</v>
      </c>
      <c r="H51" s="4">
        <f t="shared" si="7"/>
        <v>1.4362667787876802</v>
      </c>
      <c r="I51" s="4">
        <f t="shared" si="17"/>
        <v>1.5802609558411642</v>
      </c>
      <c r="K51">
        <f t="shared" si="18"/>
        <v>188</v>
      </c>
      <c r="L51" s="4">
        <v>0.91641248638737949</v>
      </c>
      <c r="M51" s="4">
        <v>1.4090758390692351</v>
      </c>
    </row>
    <row r="52" spans="1:13" x14ac:dyDescent="0.25">
      <c r="A52">
        <f t="shared" si="10"/>
        <v>192</v>
      </c>
      <c r="B52" s="3">
        <f t="shared" si="11"/>
        <v>48</v>
      </c>
      <c r="C52" s="3">
        <f t="shared" si="12"/>
        <v>53</v>
      </c>
      <c r="D52" s="4">
        <f t="shared" si="13"/>
        <v>1.4435013077474994</v>
      </c>
      <c r="E52" s="4">
        <f t="shared" si="14"/>
        <v>1.5894075912609638</v>
      </c>
      <c r="F52" s="4">
        <f t="shared" si="15"/>
        <v>0.93880157892006988</v>
      </c>
      <c r="G52" s="4">
        <f t="shared" si="16"/>
        <v>2.4438731123228572</v>
      </c>
      <c r="H52" s="4">
        <f t="shared" si="7"/>
        <v>1.4096692458471674</v>
      </c>
      <c r="I52" s="4">
        <f t="shared" si="17"/>
        <v>1.6275533734512271</v>
      </c>
      <c r="K52">
        <f t="shared" si="18"/>
        <v>192</v>
      </c>
      <c r="L52" s="4">
        <v>0.9401770697207128</v>
      </c>
      <c r="M52" s="4">
        <v>1.4456162624025684</v>
      </c>
    </row>
    <row r="53" spans="1:13" x14ac:dyDescent="0.25">
      <c r="A53">
        <f t="shared" si="10"/>
        <v>196</v>
      </c>
      <c r="B53" s="3">
        <f t="shared" si="11"/>
        <v>49</v>
      </c>
      <c r="C53" s="3">
        <f t="shared" si="12"/>
        <v>52</v>
      </c>
      <c r="D53" s="4">
        <f t="shared" si="13"/>
        <v>1.4162654340164145</v>
      </c>
      <c r="E53" s="4">
        <f t="shared" si="14"/>
        <v>1.6364797467096817</v>
      </c>
      <c r="F53" s="4">
        <f t="shared" si="15"/>
        <v>0.92108834158195529</v>
      </c>
      <c r="G53" s="4">
        <f t="shared" si="16"/>
        <v>2.5162512585408061</v>
      </c>
      <c r="H53" s="4">
        <f t="shared" si="7"/>
        <v>1.383071712906655</v>
      </c>
      <c r="I53" s="4">
        <f t="shared" si="17"/>
        <v>1.6757552606307142</v>
      </c>
      <c r="K53">
        <f t="shared" si="18"/>
        <v>196</v>
      </c>
      <c r="L53" s="4">
        <v>0.96417463916515722</v>
      </c>
      <c r="M53" s="4">
        <v>1.4825149251803462</v>
      </c>
    </row>
    <row r="54" spans="1:13" x14ac:dyDescent="0.25">
      <c r="A54">
        <f t="shared" si="10"/>
        <v>200</v>
      </c>
      <c r="B54" s="3">
        <f t="shared" si="11"/>
        <v>50</v>
      </c>
      <c r="C54" s="3">
        <f t="shared" si="12"/>
        <v>51</v>
      </c>
      <c r="D54" s="4">
        <f t="shared" si="13"/>
        <v>1.3890295602853298</v>
      </c>
      <c r="E54" s="4">
        <f t="shared" si="14"/>
        <v>1.6844748855985705</v>
      </c>
      <c r="F54" s="4">
        <f t="shared" si="15"/>
        <v>0.90337510424384082</v>
      </c>
      <c r="G54" s="4">
        <f t="shared" si="16"/>
        <v>2.5900485840963619</v>
      </c>
      <c r="H54" s="4">
        <f t="shared" si="7"/>
        <v>1.3564741799661422</v>
      </c>
      <c r="I54" s="4">
        <f t="shared" si="17"/>
        <v>1.7249022828529366</v>
      </c>
      <c r="K54">
        <f t="shared" si="18"/>
        <v>200</v>
      </c>
      <c r="L54" s="4">
        <v>0.98840980830707137</v>
      </c>
      <c r="M54" s="4">
        <v>1.5197789212529536</v>
      </c>
    </row>
    <row r="55" spans="1:13" x14ac:dyDescent="0.25">
      <c r="A55">
        <f t="shared" si="10"/>
        <v>204</v>
      </c>
      <c r="B55" s="3">
        <f t="shared" si="11"/>
        <v>51</v>
      </c>
      <c r="C55" s="3">
        <f t="shared" si="12"/>
        <v>50</v>
      </c>
      <c r="D55" s="4">
        <f t="shared" si="13"/>
        <v>1.3617936865542446</v>
      </c>
      <c r="E55" s="4">
        <f t="shared" si="14"/>
        <v>1.7334299272652371</v>
      </c>
      <c r="F55" s="4">
        <f t="shared" si="15"/>
        <v>0.88566186690572624</v>
      </c>
      <c r="G55" s="4">
        <f t="shared" si="16"/>
        <v>2.6653218561630285</v>
      </c>
      <c r="H55" s="4">
        <f t="shared" si="7"/>
        <v>1.3298766470256298</v>
      </c>
      <c r="I55" s="4">
        <f t="shared" si="17"/>
        <v>1.7750322455196033</v>
      </c>
      <c r="K55">
        <f t="shared" si="18"/>
        <v>204</v>
      </c>
      <c r="L55" s="4">
        <v>1.0128873291404048</v>
      </c>
      <c r="M55" s="4">
        <v>1.5574155572862869</v>
      </c>
    </row>
    <row r="56" spans="1:13" x14ac:dyDescent="0.25">
      <c r="A56">
        <f t="shared" si="10"/>
        <v>208</v>
      </c>
      <c r="B56" s="3">
        <f t="shared" si="11"/>
        <v>52</v>
      </c>
      <c r="C56" s="3">
        <f t="shared" si="12"/>
        <v>49</v>
      </c>
      <c r="D56" s="4">
        <f t="shared" si="13"/>
        <v>1.3345578128231601</v>
      </c>
      <c r="E56" s="4">
        <f t="shared" si="14"/>
        <v>1.7833840514148971</v>
      </c>
      <c r="F56" s="4">
        <f t="shared" si="15"/>
        <v>0.86794862956761187</v>
      </c>
      <c r="G56" s="4">
        <f t="shared" si="16"/>
        <v>2.7421313174555455</v>
      </c>
      <c r="H56" s="4">
        <f t="shared" si="7"/>
        <v>1.303279114085117</v>
      </c>
      <c r="I56" s="4">
        <f t="shared" si="17"/>
        <v>1.8261852686488549</v>
      </c>
      <c r="K56">
        <f t="shared" si="18"/>
        <v>208</v>
      </c>
      <c r="L56" s="4">
        <v>1.0376120976589234</v>
      </c>
      <c r="M56" s="4">
        <v>1.5954323613603609</v>
      </c>
    </row>
    <row r="57" spans="1:13" x14ac:dyDescent="0.25">
      <c r="A57">
        <f t="shared" si="10"/>
        <v>212</v>
      </c>
      <c r="B57" s="3">
        <f t="shared" si="11"/>
        <v>53</v>
      </c>
      <c r="C57" s="3">
        <f t="shared" si="12"/>
        <v>48</v>
      </c>
      <c r="D57" s="4">
        <f t="shared" si="13"/>
        <v>1.3073219390920749</v>
      </c>
      <c r="E57" s="4">
        <f t="shared" si="14"/>
        <v>1.8343788864843416</v>
      </c>
      <c r="F57" s="4">
        <f t="shared" si="15"/>
        <v>0.85023539222949729</v>
      </c>
      <c r="G57" s="4">
        <f t="shared" si="16"/>
        <v>2.8205409758583233</v>
      </c>
      <c r="H57" s="4">
        <f t="shared" si="7"/>
        <v>1.2766815811446046</v>
      </c>
      <c r="I57" s="4">
        <f t="shared" si="17"/>
        <v>1.8784039797599661</v>
      </c>
      <c r="K57">
        <f t="shared" si="18"/>
        <v>212</v>
      </c>
      <c r="L57" s="4">
        <v>1.0625891597337533</v>
      </c>
      <c r="M57" s="4">
        <v>1.6338370920066194</v>
      </c>
    </row>
    <row r="58" spans="1:13" x14ac:dyDescent="0.25">
      <c r="A58">
        <f t="shared" si="10"/>
        <v>216</v>
      </c>
      <c r="B58" s="3">
        <f t="shared" si="11"/>
        <v>54</v>
      </c>
      <c r="C58" s="3">
        <f t="shared" si="12"/>
        <v>47</v>
      </c>
      <c r="D58" s="4">
        <f t="shared" si="13"/>
        <v>1.2800860653609902</v>
      </c>
      <c r="E58" s="4">
        <f t="shared" si="14"/>
        <v>1.8864587180446253</v>
      </c>
      <c r="F58" s="4">
        <f t="shared" si="15"/>
        <v>0.83252215489138282</v>
      </c>
      <c r="G58" s="4">
        <f t="shared" si="16"/>
        <v>2.9006189248654155</v>
      </c>
      <c r="H58" s="4">
        <f t="shared" si="7"/>
        <v>1.2500840482040918</v>
      </c>
      <c r="I58" s="4">
        <f t="shared" si="17"/>
        <v>1.9317337272776967</v>
      </c>
      <c r="K58">
        <f t="shared" si="18"/>
        <v>216</v>
      </c>
      <c r="L58" s="4">
        <v>1.0878237172938907</v>
      </c>
      <c r="M58" s="4">
        <v>1.6726377477110868</v>
      </c>
    </row>
    <row r="59" spans="1:13" x14ac:dyDescent="0.25">
      <c r="A59">
        <f t="shared" si="10"/>
        <v>220</v>
      </c>
      <c r="B59" s="3">
        <f t="shared" si="11"/>
        <v>55</v>
      </c>
      <c r="C59" s="3">
        <f t="shared" si="12"/>
        <v>46</v>
      </c>
      <c r="D59" s="4">
        <f t="shared" si="13"/>
        <v>1.2528501916299053</v>
      </c>
      <c r="E59" s="4">
        <f t="shared" si="14"/>
        <v>1.9396707198562195</v>
      </c>
      <c r="F59" s="4">
        <f t="shared" si="15"/>
        <v>0.81480891755326823</v>
      </c>
      <c r="G59" s="4">
        <f t="shared" si="16"/>
        <v>2.9824376988509229</v>
      </c>
      <c r="H59" s="4">
        <f t="shared" si="7"/>
        <v>1.2234865152635792</v>
      </c>
      <c r="I59" s="4">
        <f t="shared" si="17"/>
        <v>1.9862228171327692</v>
      </c>
      <c r="K59">
        <f t="shared" si="18"/>
        <v>220</v>
      </c>
      <c r="L59" s="4">
        <v>1.1133211348286129</v>
      </c>
      <c r="M59" s="4">
        <v>1.7118425769124757</v>
      </c>
    </row>
    <row r="60" spans="1:13" x14ac:dyDescent="0.25">
      <c r="A60">
        <f t="shared" si="10"/>
        <v>224</v>
      </c>
      <c r="B60" s="3">
        <f t="shared" si="11"/>
        <v>56</v>
      </c>
      <c r="C60" s="3">
        <f t="shared" si="12"/>
        <v>45</v>
      </c>
      <c r="D60" s="4">
        <f t="shared" si="13"/>
        <v>1.2256143178988204</v>
      </c>
      <c r="E60" s="4">
        <f t="shared" si="14"/>
        <v>1.9940652105969603</v>
      </c>
      <c r="F60" s="4">
        <f t="shared" si="15"/>
        <v>0.79709568021515376</v>
      </c>
      <c r="G60" s="4">
        <f t="shared" si="16"/>
        <v>3.0660746678138859</v>
      </c>
      <c r="H60" s="4">
        <f t="shared" si="7"/>
        <v>1.1968889823230666</v>
      </c>
      <c r="I60" s="4">
        <f t="shared" si="17"/>
        <v>2.0419227756512877</v>
      </c>
      <c r="K60">
        <f t="shared" si="18"/>
        <v>224</v>
      </c>
      <c r="L60" s="4">
        <v>1.1390869462321218</v>
      </c>
      <c r="M60" s="4">
        <v>1.7514600885265108</v>
      </c>
    </row>
    <row r="61" spans="1:13" x14ac:dyDescent="0.25">
      <c r="A61">
        <f t="shared" si="10"/>
        <v>228</v>
      </c>
      <c r="B61" s="3">
        <f t="shared" si="11"/>
        <v>57</v>
      </c>
      <c r="C61" s="3">
        <f t="shared" si="12"/>
        <v>44</v>
      </c>
      <c r="D61" s="4">
        <f t="shared" si="13"/>
        <v>1.1983784441677354</v>
      </c>
      <c r="E61" s="4">
        <f t="shared" si="14"/>
        <v>2.0496959397636267</v>
      </c>
      <c r="F61" s="4">
        <f t="shared" si="15"/>
        <v>0.77938244287703917</v>
      </c>
      <c r="G61" s="4">
        <f t="shared" si="16"/>
        <v>3.1516124769805525</v>
      </c>
      <c r="H61" s="4">
        <f t="shared" si="7"/>
        <v>1.170291449382554</v>
      </c>
      <c r="I61" s="4">
        <f t="shared" si="17"/>
        <v>2.0988886423179545</v>
      </c>
      <c r="K61">
        <f t="shared" si="18"/>
        <v>228</v>
      </c>
      <c r="L61" s="4">
        <v>1.1651268620122637</v>
      </c>
      <c r="M61" s="4">
        <v>1.7914990630300569</v>
      </c>
    </row>
    <row r="62" spans="1:13" x14ac:dyDescent="0.25">
      <c r="A62">
        <f t="shared" si="10"/>
        <v>232</v>
      </c>
      <c r="B62" s="3">
        <f t="shared" si="11"/>
        <v>58</v>
      </c>
      <c r="C62" s="3">
        <f t="shared" si="12"/>
        <v>43</v>
      </c>
      <c r="D62" s="4">
        <f t="shared" si="13"/>
        <v>1.1711425704366505</v>
      </c>
      <c r="E62" s="4">
        <f t="shared" si="14"/>
        <v>2.1066204068178904</v>
      </c>
      <c r="F62" s="4">
        <f t="shared" si="15"/>
        <v>0.7616692055389247</v>
      </c>
      <c r="G62" s="4">
        <f t="shared" si="16"/>
        <v>3.239139537523188</v>
      </c>
      <c r="H62" s="4">
        <f t="shared" si="7"/>
        <v>1.1436939164420417</v>
      </c>
      <c r="I62" s="4">
        <f t="shared" si="17"/>
        <v>2.1571792965815204</v>
      </c>
      <c r="K62">
        <f t="shared" si="18"/>
        <v>232</v>
      </c>
      <c r="L62" s="4">
        <v>1.1914467768868156</v>
      </c>
      <c r="M62" s="4">
        <v>1.831968564141168</v>
      </c>
    </row>
    <row r="63" spans="1:13" x14ac:dyDescent="0.25">
      <c r="A63">
        <f t="shared" si="10"/>
        <v>236</v>
      </c>
      <c r="B63" s="3">
        <f t="shared" si="11"/>
        <v>59</v>
      </c>
      <c r="C63" s="3">
        <f t="shared" si="12"/>
        <v>42</v>
      </c>
      <c r="D63" s="4">
        <f t="shared" si="13"/>
        <v>1.1439066967055656</v>
      </c>
      <c r="E63" s="4">
        <f t="shared" si="14"/>
        <v>2.164900218325827</v>
      </c>
      <c r="F63" s="4">
        <f t="shared" si="15"/>
        <v>0.74395596820081011</v>
      </c>
      <c r="G63" s="4">
        <f t="shared" si="16"/>
        <v>3.3287505756977911</v>
      </c>
      <c r="H63" s="4">
        <f t="shared" si="7"/>
        <v>1.1170963835015288</v>
      </c>
      <c r="I63" s="4">
        <f t="shared" si="17"/>
        <v>2.2168578235656473</v>
      </c>
      <c r="K63">
        <f t="shared" si="18"/>
        <v>236</v>
      </c>
      <c r="L63" s="4">
        <v>1.2180527777926127</v>
      </c>
      <c r="M63" s="4">
        <v>1.8728779511339217</v>
      </c>
    </row>
    <row r="64" spans="1:13" x14ac:dyDescent="0.25">
      <c r="A64">
        <f t="shared" si="10"/>
        <v>240</v>
      </c>
      <c r="B64" s="3">
        <f t="shared" si="11"/>
        <v>60</v>
      </c>
      <c r="C64" s="3">
        <f t="shared" si="12"/>
        <v>41</v>
      </c>
      <c r="D64" s="4">
        <f t="shared" si="13"/>
        <v>1.1166708229744808</v>
      </c>
      <c r="E64" s="4">
        <f t="shared" si="14"/>
        <v>2.2246014886510301</v>
      </c>
      <c r="F64" s="4">
        <f t="shared" si="15"/>
        <v>0.72624273086269553</v>
      </c>
      <c r="G64" s="4">
        <f t="shared" si="16"/>
        <v>3.4205472489498234</v>
      </c>
      <c r="H64" s="4">
        <f t="shared" si="7"/>
        <v>1.0904988505610163</v>
      </c>
      <c r="I64" s="4">
        <f t="shared" si="17"/>
        <v>2.2779919243786555</v>
      </c>
      <c r="K64">
        <f t="shared" si="18"/>
        <v>240</v>
      </c>
      <c r="L64" s="4">
        <v>1.2449511523347372</v>
      </c>
      <c r="M64" s="4">
        <v>1.9142368918298924</v>
      </c>
    </row>
    <row r="65" spans="1:13" x14ac:dyDescent="0.25">
      <c r="A65">
        <f t="shared" si="10"/>
        <v>244</v>
      </c>
      <c r="B65" s="3">
        <f t="shared" si="11"/>
        <v>61</v>
      </c>
      <c r="C65" s="3">
        <f t="shared" si="12"/>
        <v>40</v>
      </c>
      <c r="D65" s="4">
        <f t="shared" si="13"/>
        <v>1.0894349492433959</v>
      </c>
      <c r="E65" s="4">
        <f t="shared" si="14"/>
        <v>2.2857952907343635</v>
      </c>
      <c r="F65" s="4">
        <f t="shared" si="15"/>
        <v>0.70852949352458106</v>
      </c>
      <c r="G65" s="4">
        <f t="shared" si="16"/>
        <v>3.5146388390331569</v>
      </c>
      <c r="H65" s="4">
        <f t="shared" si="7"/>
        <v>1.0639013176205037</v>
      </c>
      <c r="I65" s="4">
        <f t="shared" si="17"/>
        <v>2.340654377711989</v>
      </c>
      <c r="K65">
        <f t="shared" si="18"/>
        <v>244</v>
      </c>
      <c r="L65" s="4">
        <v>1.2721483977051076</v>
      </c>
      <c r="M65" s="4">
        <v>1.9560553763113739</v>
      </c>
    </row>
    <row r="66" spans="1:13" x14ac:dyDescent="0.25">
      <c r="A66">
        <f t="shared" si="10"/>
        <v>248</v>
      </c>
      <c r="B66" s="3">
        <f t="shared" si="11"/>
        <v>62</v>
      </c>
      <c r="C66" s="3">
        <f t="shared" si="12"/>
        <v>39</v>
      </c>
      <c r="D66" s="4">
        <f t="shared" si="13"/>
        <v>1.062199075512311</v>
      </c>
      <c r="E66" s="4">
        <f t="shared" si="14"/>
        <v>2.3485581646659872</v>
      </c>
      <c r="F66" s="4">
        <f t="shared" si="15"/>
        <v>0.69081625618646658</v>
      </c>
      <c r="G66" s="4">
        <f t="shared" si="16"/>
        <v>3.6111430339904218</v>
      </c>
      <c r="H66" s="4">
        <f t="shared" si="7"/>
        <v>1.0373037846799911</v>
      </c>
      <c r="I66" s="4">
        <f t="shared" si="17"/>
        <v>2.4049235606179717</v>
      </c>
      <c r="K66">
        <f t="shared" si="18"/>
        <v>248</v>
      </c>
      <c r="L66" s="4">
        <v>1.2996512301021113</v>
      </c>
      <c r="M66" s="4">
        <v>1.998343731405007</v>
      </c>
    </row>
    <row r="67" spans="1:13" x14ac:dyDescent="0.25">
      <c r="A67">
        <f t="shared" si="10"/>
        <v>252</v>
      </c>
      <c r="B67" s="3">
        <f t="shared" si="11"/>
        <v>63</v>
      </c>
      <c r="C67" s="3">
        <f t="shared" si="12"/>
        <v>38</v>
      </c>
      <c r="D67" s="4">
        <f t="shared" si="13"/>
        <v>1.034963201781226</v>
      </c>
      <c r="E67" s="4">
        <f t="shared" si="14"/>
        <v>2.4129726931747593</v>
      </c>
      <c r="F67" s="4">
        <f t="shared" si="15"/>
        <v>0.673103018848352</v>
      </c>
      <c r="G67" s="4">
        <f t="shared" si="16"/>
        <v>3.7101868130255093</v>
      </c>
      <c r="H67" s="4">
        <f t="shared" si="7"/>
        <v>1.0107062517394785</v>
      </c>
      <c r="I67" s="4">
        <f t="shared" si="17"/>
        <v>2.4708840378109542</v>
      </c>
      <c r="K67">
        <f t="shared" si="18"/>
        <v>252</v>
      </c>
      <c r="L67" s="4">
        <v>1.3274665946854447</v>
      </c>
      <c r="M67" s="4">
        <v>2.0411126359883403</v>
      </c>
    </row>
    <row r="68" spans="1:13" x14ac:dyDescent="0.25">
      <c r="A68">
        <f t="shared" si="10"/>
        <v>256</v>
      </c>
      <c r="B68" s="3">
        <f t="shared" si="11"/>
        <v>64</v>
      </c>
      <c r="C68" s="3">
        <f t="shared" si="12"/>
        <v>37</v>
      </c>
      <c r="D68" s="4">
        <f t="shared" si="13"/>
        <v>1.0077273280501413</v>
      </c>
      <c r="E68" s="4">
        <f t="shared" si="14"/>
        <v>2.479128154886471</v>
      </c>
      <c r="F68" s="4">
        <f t="shared" si="15"/>
        <v>0.65538978151023752</v>
      </c>
      <c r="G68" s="4">
        <f t="shared" si="16"/>
        <v>3.8119074509534374</v>
      </c>
      <c r="H68" s="4">
        <f t="shared" si="7"/>
        <v>0.984108718798966</v>
      </c>
      <c r="I68" s="4">
        <f t="shared" si="17"/>
        <v>2.5386272306037472</v>
      </c>
      <c r="K68">
        <f t="shared" si="18"/>
        <v>256</v>
      </c>
      <c r="L68" s="4">
        <v>1.3556016761030691</v>
      </c>
      <c r="M68" s="4">
        <v>2.0843731371760796</v>
      </c>
    </row>
    <row r="69" spans="1:13" x14ac:dyDescent="0.25">
      <c r="A69">
        <f t="shared" si="10"/>
        <v>260</v>
      </c>
      <c r="B69" s="3">
        <f t="shared" si="11"/>
        <v>65</v>
      </c>
      <c r="C69" s="3">
        <f t="shared" si="12"/>
        <v>36</v>
      </c>
      <c r="D69" s="4">
        <f t="shared" si="13"/>
        <v>0.98049145431905627</v>
      </c>
      <c r="E69" s="4">
        <f t="shared" si="14"/>
        <v>2.5471212683123969</v>
      </c>
      <c r="F69" s="4">
        <f t="shared" si="15"/>
        <v>0.63767654417212294</v>
      </c>
      <c r="G69" s="4">
        <f t="shared" si="16"/>
        <v>3.9164536621571413</v>
      </c>
      <c r="H69" s="4">
        <f t="shared" si="7"/>
        <v>0.95751118585845341</v>
      </c>
      <c r="I69" s="4">
        <f t="shared" si="17"/>
        <v>2.6082521787518953</v>
      </c>
      <c r="K69">
        <f t="shared" si="18"/>
        <v>260</v>
      </c>
      <c r="L69" s="4">
        <v>1.384063909630201</v>
      </c>
      <c r="M69" s="4">
        <v>2.1281366674473974</v>
      </c>
    </row>
    <row r="70" spans="1:13" x14ac:dyDescent="0.25">
      <c r="A70">
        <f t="shared" si="10"/>
        <v>264</v>
      </c>
      <c r="B70" s="3">
        <f t="shared" si="11"/>
        <v>66</v>
      </c>
      <c r="C70" s="3">
        <f t="shared" si="12"/>
        <v>35</v>
      </c>
      <c r="D70" s="4">
        <f t="shared" si="13"/>
        <v>0.95325558058797133</v>
      </c>
      <c r="E70" s="4">
        <f t="shared" si="14"/>
        <v>2.6170570421219206</v>
      </c>
      <c r="F70" s="4">
        <f t="shared" si="15"/>
        <v>0.61996330683400835</v>
      </c>
      <c r="G70" s="4">
        <f t="shared" si="16"/>
        <v>4.0239869079666652</v>
      </c>
      <c r="H70" s="4">
        <f t="shared" si="7"/>
        <v>0.93091365291794081</v>
      </c>
      <c r="I70" s="4">
        <f t="shared" si="17"/>
        <v>2.6798664111328478</v>
      </c>
      <c r="K70">
        <f t="shared" si="18"/>
        <v>264</v>
      </c>
      <c r="L70" s="4">
        <v>1.4128609929635343</v>
      </c>
      <c r="M70" s="4">
        <v>2.1724150627807308</v>
      </c>
    </row>
    <row r="71" spans="1:13" x14ac:dyDescent="0.25">
      <c r="A71">
        <f t="shared" si="10"/>
        <v>268</v>
      </c>
      <c r="B71" s="3">
        <f t="shared" si="11"/>
        <v>67</v>
      </c>
      <c r="C71" s="3">
        <f t="shared" si="12"/>
        <v>34</v>
      </c>
      <c r="D71" s="4">
        <f t="shared" si="13"/>
        <v>0.92601970685688639</v>
      </c>
      <c r="E71" s="4">
        <f t="shared" si="14"/>
        <v>2.6890497504552537</v>
      </c>
      <c r="F71" s="4">
        <f t="shared" si="15"/>
        <v>0.60225006949589388</v>
      </c>
      <c r="G71" s="4">
        <f t="shared" si="16"/>
        <v>4.1346828962999984</v>
      </c>
      <c r="H71" s="4">
        <f t="shared" ref="H71:H104" si="19">C71*2.5/7.48/3600/((0.4/12)^2*3.1415)</f>
        <v>0.90431611997742822</v>
      </c>
      <c r="I71" s="4">
        <f t="shared" si="17"/>
        <v>2.7535869444661811</v>
      </c>
      <c r="K71">
        <f t="shared" si="18"/>
        <v>268</v>
      </c>
      <c r="L71" s="4">
        <v>1.4420008987175026</v>
      </c>
      <c r="M71" s="4">
        <v>2.2172205818680326</v>
      </c>
    </row>
    <row r="72" spans="1:13" x14ac:dyDescent="0.25">
      <c r="A72">
        <f t="shared" si="10"/>
        <v>272</v>
      </c>
      <c r="B72" s="3">
        <f t="shared" si="11"/>
        <v>68</v>
      </c>
      <c r="C72" s="3">
        <f t="shared" si="12"/>
        <v>33</v>
      </c>
      <c r="D72" s="4">
        <f t="shared" si="13"/>
        <v>0.89878383312580146</v>
      </c>
      <c r="E72" s="4">
        <f t="shared" si="14"/>
        <v>2.7632240560108094</v>
      </c>
      <c r="F72" s="4">
        <f t="shared" si="15"/>
        <v>0.5845368321577793</v>
      </c>
      <c r="G72" s="4">
        <f t="shared" si="16"/>
        <v>4.2487333085222208</v>
      </c>
      <c r="H72" s="4">
        <f t="shared" si="19"/>
        <v>0.87771858703691563</v>
      </c>
      <c r="I72" s="4">
        <f t="shared" si="17"/>
        <v>2.8295414333550699</v>
      </c>
      <c r="K72">
        <f t="shared" si="18"/>
        <v>272</v>
      </c>
      <c r="L72" s="4">
        <v>1.4714918876733258</v>
      </c>
      <c r="M72" s="4">
        <v>2.2625659264865066</v>
      </c>
    </row>
    <row r="73" spans="1:13" x14ac:dyDescent="0.25">
      <c r="A73">
        <f t="shared" si="10"/>
        <v>276</v>
      </c>
      <c r="B73" s="3">
        <f t="shared" si="11"/>
        <v>69</v>
      </c>
      <c r="C73" s="3">
        <f t="shared" si="12"/>
        <v>32</v>
      </c>
      <c r="D73" s="4">
        <f t="shared" si="13"/>
        <v>0.87154795939471663</v>
      </c>
      <c r="E73" s="4">
        <f t="shared" si="14"/>
        <v>2.8397163086149759</v>
      </c>
      <c r="F73" s="4">
        <f t="shared" si="15"/>
        <v>0.56682359481966482</v>
      </c>
      <c r="G73" s="4">
        <f t="shared" si="16"/>
        <v>4.3663477961263872</v>
      </c>
      <c r="H73" s="4">
        <f t="shared" si="19"/>
        <v>0.85112105409640304</v>
      </c>
      <c r="I73" s="4">
        <f t="shared" si="17"/>
        <v>2.9078695000217367</v>
      </c>
      <c r="K73">
        <f t="shared" si="18"/>
        <v>276</v>
      </c>
      <c r="L73" s="4">
        <v>1.5013425228359274</v>
      </c>
      <c r="M73" s="4">
        <v>2.3084642631125227</v>
      </c>
    </row>
    <row r="74" spans="1:13" x14ac:dyDescent="0.25">
      <c r="A74">
        <f t="shared" si="10"/>
        <v>280</v>
      </c>
      <c r="B74" s="3">
        <f t="shared" si="11"/>
        <v>70</v>
      </c>
      <c r="C74" s="3">
        <f t="shared" si="12"/>
        <v>31</v>
      </c>
      <c r="D74" s="4">
        <f t="shared" si="13"/>
        <v>0.84431208566363181</v>
      </c>
      <c r="E74" s="4">
        <f t="shared" si="14"/>
        <v>2.9186760532386318</v>
      </c>
      <c r="F74" s="4">
        <f t="shared" si="15"/>
        <v>0.54911035748155035</v>
      </c>
      <c r="G74" s="4">
        <f t="shared" si="16"/>
        <v>4.4877562994597202</v>
      </c>
      <c r="H74" s="4">
        <f t="shared" si="19"/>
        <v>0.82452352115589034</v>
      </c>
      <c r="I74" s="4">
        <f t="shared" si="17"/>
        <v>2.9887242785163606</v>
      </c>
      <c r="K74">
        <f t="shared" si="18"/>
        <v>280</v>
      </c>
      <c r="L74" s="4">
        <v>1.5315616843585611</v>
      </c>
      <c r="M74" s="4">
        <v>2.3549292458697244</v>
      </c>
    </row>
    <row r="75" spans="1:13" x14ac:dyDescent="0.25">
      <c r="A75">
        <f t="shared" si="10"/>
        <v>284</v>
      </c>
      <c r="B75" s="3">
        <f t="shared" si="11"/>
        <v>71</v>
      </c>
      <c r="C75" s="3">
        <f t="shared" si="12"/>
        <v>30</v>
      </c>
      <c r="D75" s="4">
        <f t="shared" si="13"/>
        <v>0.81707621193254698</v>
      </c>
      <c r="E75" s="4">
        <f t="shared" si="14"/>
        <v>3.0002677893497429</v>
      </c>
      <c r="F75" s="4">
        <f t="shared" si="15"/>
        <v>0.53139712014343587</v>
      </c>
      <c r="G75" s="4">
        <f t="shared" si="16"/>
        <v>4.6132117529041645</v>
      </c>
      <c r="H75" s="4">
        <f t="shared" si="19"/>
        <v>0.79792598821537775</v>
      </c>
      <c r="I75" s="4">
        <f t="shared" si="17"/>
        <v>3.0722742162941383</v>
      </c>
      <c r="K75">
        <f t="shared" si="18"/>
        <v>284</v>
      </c>
      <c r="L75" s="4">
        <v>1.5621585854002278</v>
      </c>
      <c r="M75" s="4">
        <v>2.4019750409113909</v>
      </c>
    </row>
    <row r="76" spans="1:13" x14ac:dyDescent="0.25">
      <c r="A76">
        <f t="shared" si="10"/>
        <v>288</v>
      </c>
      <c r="B76" s="3">
        <f t="shared" si="11"/>
        <v>72</v>
      </c>
      <c r="C76" s="3">
        <f t="shared" si="12"/>
        <v>29</v>
      </c>
      <c r="D76" s="4">
        <f t="shared" si="13"/>
        <v>0.78984033820146193</v>
      </c>
      <c r="E76" s="4">
        <f t="shared" si="14"/>
        <v>3.0846730336026167</v>
      </c>
      <c r="F76" s="4">
        <f t="shared" si="15"/>
        <v>0.51368388280532129</v>
      </c>
      <c r="G76" s="4">
        <f t="shared" si="16"/>
        <v>4.7429932564673827</v>
      </c>
      <c r="H76" s="4">
        <f t="shared" si="19"/>
        <v>0.77132845527486515</v>
      </c>
      <c r="I76" s="4">
        <f t="shared" si="17"/>
        <v>3.1587051864090809</v>
      </c>
      <c r="K76">
        <f t="shared" si="18"/>
        <v>288</v>
      </c>
      <c r="L76" s="4">
        <v>1.5931427889867256</v>
      </c>
      <c r="M76" s="4">
        <v>2.44961635234599</v>
      </c>
    </row>
    <row r="77" spans="1:13" x14ac:dyDescent="0.25">
      <c r="A77">
        <f t="shared" si="10"/>
        <v>292</v>
      </c>
      <c r="B77" s="3">
        <f t="shared" si="11"/>
        <v>73</v>
      </c>
      <c r="C77" s="3">
        <f t="shared" si="12"/>
        <v>28</v>
      </c>
      <c r="D77" s="4">
        <f t="shared" si="13"/>
        <v>0.76260446447037711</v>
      </c>
      <c r="E77" s="4">
        <f t="shared" si="14"/>
        <v>3.1720927508645214</v>
      </c>
      <c r="F77" s="4">
        <f t="shared" si="15"/>
        <v>0.49597064546720676</v>
      </c>
      <c r="G77" s="4">
        <f t="shared" si="16"/>
        <v>4.8774098137292876</v>
      </c>
      <c r="H77" s="4">
        <f t="shared" si="19"/>
        <v>0.74473092233435256</v>
      </c>
      <c r="I77" s="4">
        <f t="shared" si="17"/>
        <v>3.2482229768852715</v>
      </c>
      <c r="K77">
        <f t="shared" si="18"/>
        <v>292</v>
      </c>
      <c r="L77" s="4">
        <v>1.6245242259525374</v>
      </c>
      <c r="M77" s="4">
        <v>2.4978684498246224</v>
      </c>
    </row>
    <row r="78" spans="1:13" x14ac:dyDescent="0.25">
      <c r="A78">
        <f t="shared" si="10"/>
        <v>296</v>
      </c>
      <c r="B78" s="3">
        <f t="shared" si="11"/>
        <v>74</v>
      </c>
      <c r="C78" s="3">
        <f t="shared" si="12"/>
        <v>27</v>
      </c>
      <c r="D78" s="4">
        <f t="shared" si="13"/>
        <v>0.73536859073929217</v>
      </c>
      <c r="E78" s="4">
        <f t="shared" si="14"/>
        <v>3.2627502354324225</v>
      </c>
      <c r="F78" s="4">
        <f t="shared" si="15"/>
        <v>0.47825740812909218</v>
      </c>
      <c r="G78" s="4">
        <f t="shared" si="16"/>
        <v>5.0168047620008922</v>
      </c>
      <c r="H78" s="4">
        <f t="shared" si="19"/>
        <v>0.71813338939384008</v>
      </c>
      <c r="I78" s="4">
        <f t="shared" si="17"/>
        <v>3.3410562410828022</v>
      </c>
      <c r="K78">
        <f t="shared" si="18"/>
        <v>296</v>
      </c>
      <c r="L78" s="4">
        <v>1.6563132140477754</v>
      </c>
      <c r="M78" s="4">
        <v>2.5467471979198604</v>
      </c>
    </row>
    <row r="79" spans="1:13" x14ac:dyDescent="0.25">
      <c r="A79">
        <f t="shared" si="10"/>
        <v>300</v>
      </c>
      <c r="B79" s="3">
        <f t="shared" si="11"/>
        <v>75</v>
      </c>
      <c r="C79" s="3">
        <f t="shared" si="12"/>
        <v>26</v>
      </c>
      <c r="D79" s="4">
        <f t="shared" si="13"/>
        <v>0.70813271700820724</v>
      </c>
      <c r="E79" s="4">
        <f t="shared" si="14"/>
        <v>3.3568945463298583</v>
      </c>
      <c r="F79" s="4">
        <f t="shared" si="15"/>
        <v>0.46054417079097765</v>
      </c>
      <c r="G79" s="4">
        <f t="shared" si="16"/>
        <v>5.16156105443679</v>
      </c>
      <c r="H79" s="4">
        <f t="shared" si="19"/>
        <v>0.69153585645332749</v>
      </c>
      <c r="I79" s="4">
        <f t="shared" si="17"/>
        <v>3.4374600154417765</v>
      </c>
      <c r="K79">
        <f t="shared" si="18"/>
        <v>300</v>
      </c>
      <c r="L79" s="4">
        <v>1.6885204783021615</v>
      </c>
      <c r="M79" s="4">
        <v>2.5962690874374044</v>
      </c>
    </row>
    <row r="80" spans="1:13" x14ac:dyDescent="0.25">
      <c r="A80">
        <f t="shared" si="10"/>
        <v>304</v>
      </c>
      <c r="B80" s="3">
        <f t="shared" si="11"/>
        <v>76</v>
      </c>
      <c r="C80" s="3">
        <f t="shared" si="12"/>
        <v>25</v>
      </c>
      <c r="D80" s="4">
        <f t="shared" si="13"/>
        <v>0.6808968432771223</v>
      </c>
      <c r="E80" s="4">
        <f t="shared" si="14"/>
        <v>3.4548046296631916</v>
      </c>
      <c r="F80" s="4">
        <f t="shared" si="15"/>
        <v>0.44283093345286312</v>
      </c>
      <c r="G80" s="4">
        <f t="shared" si="16"/>
        <v>5.3121075985701234</v>
      </c>
      <c r="H80" s="4">
        <f t="shared" si="19"/>
        <v>0.6649383235128149</v>
      </c>
      <c r="I80" s="4">
        <f t="shared" si="17"/>
        <v>3.5377199407751099</v>
      </c>
      <c r="K80">
        <f t="shared" si="18"/>
        <v>304</v>
      </c>
      <c r="L80" s="4">
        <v>1.721157172746606</v>
      </c>
      <c r="M80" s="4">
        <v>2.646451268815182</v>
      </c>
    </row>
    <row r="81" spans="1:13" x14ac:dyDescent="0.25">
      <c r="A81">
        <f t="shared" si="10"/>
        <v>308</v>
      </c>
      <c r="B81" s="3">
        <f t="shared" si="11"/>
        <v>77</v>
      </c>
      <c r="C81" s="3">
        <f t="shared" si="12"/>
        <v>24</v>
      </c>
      <c r="D81" s="4">
        <f t="shared" si="13"/>
        <v>0.65366096954603747</v>
      </c>
      <c r="E81" s="4">
        <f t="shared" si="14"/>
        <v>3.5567942998020805</v>
      </c>
      <c r="F81" s="4">
        <f t="shared" si="15"/>
        <v>0.42511769611474864</v>
      </c>
      <c r="G81" s="4">
        <f t="shared" si="16"/>
        <v>5.468926915375679</v>
      </c>
      <c r="H81" s="4">
        <f t="shared" si="19"/>
        <v>0.63834079057230231</v>
      </c>
      <c r="I81" s="4">
        <f t="shared" si="17"/>
        <v>3.6421573629973323</v>
      </c>
      <c r="K81">
        <f t="shared" si="18"/>
        <v>308</v>
      </c>
      <c r="L81" s="4">
        <v>1.7542349036024618</v>
      </c>
      <c r="M81" s="4">
        <v>2.6973115877791458</v>
      </c>
    </row>
    <row r="82" spans="1:13" x14ac:dyDescent="0.25">
      <c r="A82">
        <f t="shared" si="10"/>
        <v>312</v>
      </c>
      <c r="B82" s="3">
        <f t="shared" si="11"/>
        <v>78</v>
      </c>
      <c r="C82" s="3">
        <f t="shared" si="12"/>
        <v>23</v>
      </c>
      <c r="D82" s="4">
        <f t="shared" si="13"/>
        <v>0.62642509581495265</v>
      </c>
      <c r="E82" s="4">
        <f t="shared" si="14"/>
        <v>3.663218303425269</v>
      </c>
      <c r="F82" s="4">
        <f t="shared" si="15"/>
        <v>0.40740445877663412</v>
      </c>
      <c r="G82" s="4">
        <f t="shared" si="16"/>
        <v>5.6325644633466938</v>
      </c>
      <c r="H82" s="4">
        <f t="shared" si="19"/>
        <v>0.61174325763178961</v>
      </c>
      <c r="I82" s="4">
        <f t="shared" si="17"/>
        <v>3.7511355427074773</v>
      </c>
      <c r="K82">
        <f t="shared" si="18"/>
        <v>312</v>
      </c>
      <c r="L82" s="4">
        <v>1.7877657540590828</v>
      </c>
      <c r="M82" s="4">
        <v>2.7488686234412461</v>
      </c>
    </row>
    <row r="83" spans="1:13" x14ac:dyDescent="0.25">
      <c r="A83">
        <f t="shared" si="10"/>
        <v>316</v>
      </c>
      <c r="B83" s="3">
        <f t="shared" si="11"/>
        <v>79</v>
      </c>
      <c r="C83" s="3">
        <f t="shared" si="12"/>
        <v>22</v>
      </c>
      <c r="D83" s="4">
        <f t="shared" si="13"/>
        <v>0.59918922208386771</v>
      </c>
      <c r="E83" s="4">
        <f t="shared" si="14"/>
        <v>3.7744797617586023</v>
      </c>
      <c r="F83" s="4">
        <f t="shared" si="15"/>
        <v>0.38969122143851959</v>
      </c>
      <c r="G83" s="4">
        <f t="shared" si="16"/>
        <v>5.8036400816800269</v>
      </c>
      <c r="H83" s="4">
        <f t="shared" si="19"/>
        <v>0.58514572469127701</v>
      </c>
      <c r="I83" s="4">
        <f t="shared" si="17"/>
        <v>3.8650672760408105</v>
      </c>
      <c r="K83">
        <f t="shared" si="18"/>
        <v>316</v>
      </c>
      <c r="L83" s="4">
        <v>1.8217623107720458</v>
      </c>
      <c r="M83" s="4">
        <v>2.8011417290430978</v>
      </c>
    </row>
    <row r="84" spans="1:13" x14ac:dyDescent="0.25">
      <c r="A84">
        <f t="shared" si="10"/>
        <v>320</v>
      </c>
      <c r="B84" s="3">
        <f t="shared" si="11"/>
        <v>80</v>
      </c>
      <c r="C84" s="3">
        <f t="shared" si="12"/>
        <v>21</v>
      </c>
      <c r="D84" s="4">
        <f t="shared" si="13"/>
        <v>0.57195334835278278</v>
      </c>
      <c r="E84" s="4">
        <f t="shared" si="14"/>
        <v>3.8910393847744755</v>
      </c>
      <c r="F84" s="4">
        <f t="shared" si="15"/>
        <v>0.37197798410040506</v>
      </c>
      <c r="G84" s="4">
        <f t="shared" si="16"/>
        <v>5.9828621580292332</v>
      </c>
      <c r="H84" s="4">
        <f t="shared" si="19"/>
        <v>0.55854819175076442</v>
      </c>
      <c r="I84" s="4">
        <f t="shared" si="17"/>
        <v>3.9844243300090643</v>
      </c>
      <c r="K84">
        <f t="shared" si="18"/>
        <v>320</v>
      </c>
      <c r="L84" s="4">
        <v>1.8562376922274448</v>
      </c>
      <c r="M84" s="4">
        <v>2.8541510755689194</v>
      </c>
    </row>
    <row r="85" spans="1:13" x14ac:dyDescent="0.25">
      <c r="A85">
        <f t="shared" si="10"/>
        <v>324</v>
      </c>
      <c r="B85" s="3">
        <f t="shared" si="11"/>
        <v>81</v>
      </c>
      <c r="C85" s="3">
        <f t="shared" si="12"/>
        <v>20</v>
      </c>
      <c r="D85" s="4">
        <f t="shared" si="13"/>
        <v>0.54471747462169795</v>
      </c>
      <c r="E85" s="4">
        <f t="shared" si="14"/>
        <v>4.0134269889411422</v>
      </c>
      <c r="F85" s="4">
        <f t="shared" si="15"/>
        <v>0.35426474676229053</v>
      </c>
      <c r="G85" s="4">
        <f t="shared" si="16"/>
        <v>6.1710453381959001</v>
      </c>
      <c r="H85" s="4">
        <f t="shared" si="19"/>
        <v>0.53195065881025183</v>
      </c>
      <c r="I85" s="4">
        <f t="shared" si="17"/>
        <v>4.1097492366757313</v>
      </c>
      <c r="K85">
        <f t="shared" si="18"/>
        <v>324</v>
      </c>
      <c r="L85" s="4">
        <v>1.8912055791322067</v>
      </c>
      <c r="M85" s="4">
        <v>2.9079176984736814</v>
      </c>
    </row>
    <row r="86" spans="1:13" x14ac:dyDescent="0.25">
      <c r="A86">
        <f t="shared" si="10"/>
        <v>328</v>
      </c>
      <c r="B86" s="3">
        <f t="shared" si="11"/>
        <v>82</v>
      </c>
      <c r="C86" s="3">
        <f t="shared" si="12"/>
        <v>19</v>
      </c>
      <c r="D86" s="4">
        <f t="shared" si="13"/>
        <v>0.51748160089061301</v>
      </c>
      <c r="E86" s="4">
        <f t="shared" si="14"/>
        <v>4.1422560459586864</v>
      </c>
      <c r="F86" s="4">
        <f t="shared" si="15"/>
        <v>0.336551509424176</v>
      </c>
      <c r="G86" s="4">
        <f t="shared" si="16"/>
        <v>6.3691328962660752</v>
      </c>
      <c r="H86" s="4">
        <f t="shared" si="19"/>
        <v>0.50535312586973924</v>
      </c>
      <c r="I86" s="4">
        <f t="shared" si="17"/>
        <v>4.2416701910616963</v>
      </c>
      <c r="K86">
        <f t="shared" si="18"/>
        <v>328</v>
      </c>
      <c r="L86" s="4">
        <v>1.9266802470066029</v>
      </c>
      <c r="M86" s="4">
        <v>2.9624635477973529</v>
      </c>
    </row>
    <row r="87" spans="1:13" x14ac:dyDescent="0.25">
      <c r="A87">
        <f t="shared" si="10"/>
        <v>332</v>
      </c>
      <c r="B87" s="3">
        <f t="shared" si="11"/>
        <v>83</v>
      </c>
      <c r="C87" s="3">
        <f t="shared" si="12"/>
        <v>18</v>
      </c>
      <c r="D87" s="4">
        <f t="shared" si="13"/>
        <v>0.49024572715952813</v>
      </c>
      <c r="E87" s="4">
        <f t="shared" si="14"/>
        <v>4.2782422728105383</v>
      </c>
      <c r="F87" s="4">
        <f t="shared" si="15"/>
        <v>0.31883827208606147</v>
      </c>
      <c r="G87" s="4">
        <f t="shared" si="16"/>
        <v>6.5782253186734829</v>
      </c>
      <c r="H87" s="4">
        <f t="shared" si="19"/>
        <v>0.4787555929292267</v>
      </c>
      <c r="I87" s="4">
        <f t="shared" si="17"/>
        <v>4.3809200873579925</v>
      </c>
      <c r="K87">
        <f t="shared" si="18"/>
        <v>332</v>
      </c>
      <c r="L87" s="4">
        <v>1.9626766011732695</v>
      </c>
      <c r="M87" s="4">
        <v>3.0178115419640195</v>
      </c>
    </row>
    <row r="88" spans="1:13" x14ac:dyDescent="0.25">
      <c r="A88">
        <f t="shared" si="10"/>
        <v>336</v>
      </c>
      <c r="B88" s="3">
        <f t="shared" si="11"/>
        <v>84</v>
      </c>
      <c r="C88" s="3">
        <f t="shared" si="12"/>
        <v>17</v>
      </c>
      <c r="D88" s="4">
        <f t="shared" si="13"/>
        <v>0.4630098534284432</v>
      </c>
      <c r="E88" s="4">
        <f t="shared" si="14"/>
        <v>4.4222276894772046</v>
      </c>
      <c r="F88" s="4">
        <f t="shared" si="15"/>
        <v>0.30112503474794694</v>
      </c>
      <c r="G88" s="4">
        <f t="shared" si="16"/>
        <v>6.7996172953401492</v>
      </c>
      <c r="H88" s="4">
        <f t="shared" si="19"/>
        <v>0.45215805998871411</v>
      </c>
      <c r="I88" s="4">
        <f t="shared" si="17"/>
        <v>4.5283611540246591</v>
      </c>
      <c r="K88">
        <f t="shared" si="18"/>
        <v>336</v>
      </c>
      <c r="L88" s="4">
        <v>1.9992102143573491</v>
      </c>
      <c r="M88" s="4">
        <v>3.0739856255958604</v>
      </c>
    </row>
    <row r="89" spans="1:13" x14ac:dyDescent="0.25">
      <c r="A89">
        <f t="shared" si="10"/>
        <v>340</v>
      </c>
      <c r="B89" s="3">
        <f t="shared" si="11"/>
        <v>85</v>
      </c>
      <c r="C89" s="3">
        <f t="shared" si="12"/>
        <v>16</v>
      </c>
      <c r="D89" s="4">
        <f t="shared" si="13"/>
        <v>0.43577397969735832</v>
      </c>
      <c r="E89" s="4">
        <f t="shared" si="14"/>
        <v>4.5752121946855375</v>
      </c>
      <c r="F89" s="4">
        <f t="shared" si="15"/>
        <v>0.28341179740983241</v>
      </c>
      <c r="G89" s="4">
        <f t="shared" si="16"/>
        <v>7.0348462705484822</v>
      </c>
      <c r="H89" s="4">
        <f t="shared" si="19"/>
        <v>0.42556052704820152</v>
      </c>
      <c r="I89" s="4">
        <f t="shared" si="17"/>
        <v>4.6850172873579927</v>
      </c>
      <c r="K89">
        <f t="shared" si="18"/>
        <v>340</v>
      </c>
      <c r="L89" s="4">
        <v>2.036297367135127</v>
      </c>
      <c r="M89" s="4">
        <v>3.1310108317069716</v>
      </c>
    </row>
    <row r="90" spans="1:13" x14ac:dyDescent="0.25">
      <c r="A90">
        <f t="shared" si="10"/>
        <v>344</v>
      </c>
      <c r="B90" s="3">
        <f t="shared" si="11"/>
        <v>86</v>
      </c>
      <c r="C90" s="3">
        <f t="shared" si="12"/>
        <v>15</v>
      </c>
      <c r="D90" s="4">
        <f t="shared" si="13"/>
        <v>0.40853810596627349</v>
      </c>
      <c r="E90" s="4">
        <f t="shared" si="14"/>
        <v>4.7383956669077598</v>
      </c>
      <c r="F90" s="4">
        <f t="shared" si="15"/>
        <v>0.26569856007171794</v>
      </c>
      <c r="G90" s="4">
        <f t="shared" si="16"/>
        <v>7.2857571774373708</v>
      </c>
      <c r="H90" s="4">
        <f t="shared" si="19"/>
        <v>0.39896299410768887</v>
      </c>
      <c r="I90" s="4">
        <f t="shared" si="17"/>
        <v>4.8521171629135482</v>
      </c>
      <c r="K90">
        <f t="shared" si="18"/>
        <v>344</v>
      </c>
      <c r="L90" s="4">
        <v>2.0739550914941014</v>
      </c>
      <c r="M90" s="4">
        <v>3.1889133486813304</v>
      </c>
    </row>
    <row r="91" spans="1:13" x14ac:dyDescent="0.25">
      <c r="A91">
        <f t="shared" si="10"/>
        <v>348</v>
      </c>
      <c r="B91" s="3">
        <f t="shared" si="11"/>
        <v>87</v>
      </c>
      <c r="C91" s="3">
        <f t="shared" si="12"/>
        <v>14</v>
      </c>
      <c r="D91" s="4">
        <f t="shared" si="13"/>
        <v>0.38130223223518855</v>
      </c>
      <c r="E91" s="4">
        <f t="shared" si="14"/>
        <v>4.9132351014315692</v>
      </c>
      <c r="F91" s="4">
        <f t="shared" si="15"/>
        <v>0.24798532273360338</v>
      </c>
      <c r="G91" s="4">
        <f t="shared" si="16"/>
        <v>7.5545902919611807</v>
      </c>
      <c r="H91" s="4">
        <f t="shared" si="19"/>
        <v>0.37236546116717628</v>
      </c>
      <c r="I91" s="4">
        <f t="shared" si="17"/>
        <v>5.0311527438659294</v>
      </c>
      <c r="K91">
        <f t="shared" si="18"/>
        <v>348</v>
      </c>
      <c r="L91" s="4">
        <v>2.1122012177961849</v>
      </c>
      <c r="M91" s="4">
        <v>3.2477205924834136</v>
      </c>
    </row>
    <row r="92" spans="1:13" x14ac:dyDescent="0.25">
      <c r="A92">
        <f t="shared" si="10"/>
        <v>352</v>
      </c>
      <c r="B92" s="3">
        <f t="shared" si="11"/>
        <v>88</v>
      </c>
      <c r="C92" s="3">
        <f t="shared" si="12"/>
        <v>13</v>
      </c>
      <c r="D92" s="4">
        <f t="shared" si="13"/>
        <v>0.35406635850410362</v>
      </c>
      <c r="E92" s="4">
        <f t="shared" si="14"/>
        <v>5.1015237232264408</v>
      </c>
      <c r="F92" s="4">
        <f t="shared" si="15"/>
        <v>0.23027208539548882</v>
      </c>
      <c r="G92" s="4">
        <f t="shared" si="16"/>
        <v>7.8441028768329755</v>
      </c>
      <c r="H92" s="4">
        <f t="shared" si="19"/>
        <v>0.34576792822666375</v>
      </c>
      <c r="I92" s="4">
        <f t="shared" si="17"/>
        <v>5.223960292583878</v>
      </c>
      <c r="K92">
        <f t="shared" si="18"/>
        <v>352</v>
      </c>
      <c r="L92" s="4">
        <v>2.1510544254681427</v>
      </c>
      <c r="M92" s="4">
        <v>3.3074612845998157</v>
      </c>
    </row>
    <row r="93" spans="1:13" x14ac:dyDescent="0.25">
      <c r="A93">
        <f t="shared" si="10"/>
        <v>356</v>
      </c>
      <c r="B93" s="3">
        <f t="shared" si="11"/>
        <v>89</v>
      </c>
      <c r="C93" s="3">
        <f t="shared" si="12"/>
        <v>12</v>
      </c>
      <c r="D93" s="4">
        <f t="shared" si="13"/>
        <v>0.32683048477301874</v>
      </c>
      <c r="E93" s="4">
        <f t="shared" si="14"/>
        <v>5.3055030635042186</v>
      </c>
      <c r="F93" s="4">
        <f t="shared" si="15"/>
        <v>0.21255884805737432</v>
      </c>
      <c r="G93" s="4">
        <f t="shared" si="16"/>
        <v>8.1577415104440867</v>
      </c>
      <c r="H93" s="4">
        <f t="shared" si="19"/>
        <v>0.31917039528615115</v>
      </c>
      <c r="I93" s="4">
        <f t="shared" si="17"/>
        <v>5.4328351370283228</v>
      </c>
      <c r="K93">
        <f t="shared" si="18"/>
        <v>356</v>
      </c>
      <c r="L93" s="4">
        <v>2.1905342977799709</v>
      </c>
      <c r="M93" s="4">
        <v>3.3681655362664822</v>
      </c>
    </row>
    <row r="94" spans="1:13" x14ac:dyDescent="0.25">
      <c r="A94">
        <f t="shared" ref="A94:A100" si="20">A93+4</f>
        <v>360</v>
      </c>
      <c r="B94" s="3">
        <f t="shared" ref="B94:B100" si="21">B93+1</f>
        <v>90</v>
      </c>
      <c r="C94" s="3">
        <f t="shared" ref="C94:C100" si="22">C93-1</f>
        <v>11</v>
      </c>
      <c r="D94" s="4">
        <f t="shared" ref="D94:D157" si="23">C94/7.48/3600/((0.25/12)^2*3.1415)</f>
        <v>0.29959461104193386</v>
      </c>
      <c r="E94" s="4">
        <f t="shared" ref="E94:E100" si="24">4/D94/60+E93</f>
        <v>5.5280259801708853</v>
      </c>
      <c r="F94" s="4">
        <f t="shared" ref="F94:F100" si="25">C94/7.48/3600/((0.31/12)^2*3.1415)</f>
        <v>0.19484561071925979</v>
      </c>
      <c r="G94" s="4">
        <f t="shared" ref="G94:G100" si="26">4/F94/60+G93</f>
        <v>8.4998927471107528</v>
      </c>
      <c r="H94" s="4">
        <f t="shared" si="19"/>
        <v>0.29257286234563851</v>
      </c>
      <c r="I94" s="4">
        <f t="shared" ref="I94:I104" si="27">4/H94/60+I93</f>
        <v>5.6606986036949891</v>
      </c>
      <c r="K94">
        <f t="shared" ref="K94:K154" si="28">K93+4</f>
        <v>360</v>
      </c>
      <c r="L94" s="4">
        <v>2.230661381113304</v>
      </c>
      <c r="M94" s="4">
        <v>3.4298649395998155</v>
      </c>
    </row>
    <row r="95" spans="1:13" x14ac:dyDescent="0.25">
      <c r="A95">
        <f t="shared" si="20"/>
        <v>364</v>
      </c>
      <c r="B95" s="3">
        <f t="shared" si="21"/>
        <v>91</v>
      </c>
      <c r="C95" s="3">
        <f t="shared" si="22"/>
        <v>10</v>
      </c>
      <c r="D95" s="4">
        <f t="shared" si="23"/>
        <v>0.27235873731084898</v>
      </c>
      <c r="E95" s="4">
        <f t="shared" si="24"/>
        <v>5.7728011885042188</v>
      </c>
      <c r="F95" s="4">
        <f t="shared" si="25"/>
        <v>0.17713237338114526</v>
      </c>
      <c r="G95" s="4">
        <f t="shared" si="26"/>
        <v>8.8762591074440866</v>
      </c>
      <c r="H95" s="4">
        <f t="shared" si="19"/>
        <v>0.26597532940512592</v>
      </c>
      <c r="I95" s="4">
        <f t="shared" si="27"/>
        <v>5.9113484170283224</v>
      </c>
      <c r="K95">
        <f t="shared" si="28"/>
        <v>364</v>
      </c>
      <c r="L95" s="4">
        <v>2.2714572491688596</v>
      </c>
      <c r="M95" s="4">
        <v>3.4925926663220377</v>
      </c>
    </row>
    <row r="96" spans="1:13" x14ac:dyDescent="0.25">
      <c r="A96">
        <f t="shared" si="20"/>
        <v>368</v>
      </c>
      <c r="B96" s="3">
        <f t="shared" si="21"/>
        <v>92</v>
      </c>
      <c r="C96" s="3">
        <f t="shared" si="22"/>
        <v>9</v>
      </c>
      <c r="D96" s="4">
        <f t="shared" si="23"/>
        <v>0.24512286357976407</v>
      </c>
      <c r="E96" s="4">
        <f t="shared" si="24"/>
        <v>6.0447736422079226</v>
      </c>
      <c r="F96" s="4">
        <f t="shared" si="25"/>
        <v>0.15941913604303073</v>
      </c>
      <c r="G96" s="4">
        <f t="shared" si="26"/>
        <v>9.2944439522589022</v>
      </c>
      <c r="H96" s="4">
        <f t="shared" si="19"/>
        <v>0.23937779646461335</v>
      </c>
      <c r="I96" s="4">
        <f t="shared" si="27"/>
        <v>6.1898482096209149</v>
      </c>
      <c r="K96">
        <f t="shared" si="28"/>
        <v>368</v>
      </c>
      <c r="L96" s="4">
        <v>2.3129445726151872</v>
      </c>
      <c r="M96" s="4">
        <v>3.5563835748531112</v>
      </c>
    </row>
    <row r="97" spans="1:13" x14ac:dyDescent="0.25">
      <c r="A97">
        <f t="shared" si="20"/>
        <v>372</v>
      </c>
      <c r="B97" s="3">
        <f t="shared" si="21"/>
        <v>93</v>
      </c>
      <c r="C97" s="3">
        <f t="shared" si="22"/>
        <v>8</v>
      </c>
      <c r="D97" s="4">
        <f t="shared" si="23"/>
        <v>0.21788698984867916</v>
      </c>
      <c r="E97" s="4">
        <f t="shared" si="24"/>
        <v>6.3507426526245894</v>
      </c>
      <c r="F97" s="4">
        <f t="shared" si="25"/>
        <v>0.14170589870491621</v>
      </c>
      <c r="G97" s="4">
        <f t="shared" si="26"/>
        <v>9.7649019026755681</v>
      </c>
      <c r="H97" s="4">
        <f t="shared" si="19"/>
        <v>0.21278026352410076</v>
      </c>
      <c r="I97" s="4">
        <f t="shared" si="27"/>
        <v>6.5031604762875812</v>
      </c>
      <c r="K97">
        <f t="shared" si="28"/>
        <v>372</v>
      </c>
      <c r="L97" s="4">
        <v>2.3551471947416238</v>
      </c>
      <c r="M97" s="4">
        <v>3.6212743266347203</v>
      </c>
    </row>
    <row r="98" spans="1:13" x14ac:dyDescent="0.25">
      <c r="A98">
        <f t="shared" si="20"/>
        <v>376</v>
      </c>
      <c r="B98" s="3">
        <f t="shared" si="21"/>
        <v>94</v>
      </c>
      <c r="C98" s="3">
        <f t="shared" si="22"/>
        <v>7</v>
      </c>
      <c r="D98" s="4">
        <f t="shared" si="23"/>
        <v>0.19065111611759428</v>
      </c>
      <c r="E98" s="4">
        <f t="shared" si="24"/>
        <v>6.7004215216722081</v>
      </c>
      <c r="F98" s="4">
        <f t="shared" si="25"/>
        <v>0.12399266136680169</v>
      </c>
      <c r="G98" s="4">
        <f t="shared" si="26"/>
        <v>10.302568131723188</v>
      </c>
      <c r="H98" s="4">
        <f t="shared" si="19"/>
        <v>0.18618273058358814</v>
      </c>
      <c r="I98" s="4">
        <f t="shared" si="27"/>
        <v>6.8612316381923435</v>
      </c>
      <c r="K98">
        <f t="shared" si="28"/>
        <v>376</v>
      </c>
      <c r="L98" s="4">
        <v>2.3980902137474716</v>
      </c>
      <c r="M98" s="4">
        <v>3.687303512658112</v>
      </c>
    </row>
    <row r="99" spans="1:13" x14ac:dyDescent="0.25">
      <c r="A99">
        <f t="shared" si="20"/>
        <v>380</v>
      </c>
      <c r="B99" s="3">
        <f t="shared" si="21"/>
        <v>95</v>
      </c>
      <c r="C99" s="3">
        <f t="shared" si="22"/>
        <v>6</v>
      </c>
      <c r="D99" s="4">
        <f t="shared" si="23"/>
        <v>0.16341524238650937</v>
      </c>
      <c r="E99" s="4">
        <f t="shared" si="24"/>
        <v>7.1083802022277638</v>
      </c>
      <c r="F99" s="4">
        <f t="shared" si="25"/>
        <v>0.10627942402868716</v>
      </c>
      <c r="G99" s="4">
        <f t="shared" si="26"/>
        <v>10.92984539894541</v>
      </c>
      <c r="H99" s="4">
        <f t="shared" si="19"/>
        <v>0.15958519764307558</v>
      </c>
      <c r="I99" s="4">
        <f t="shared" si="27"/>
        <v>7.2789813270812322</v>
      </c>
      <c r="K99">
        <f t="shared" si="28"/>
        <v>380</v>
      </c>
      <c r="L99" s="4">
        <v>2.4418000723784239</v>
      </c>
      <c r="M99" s="4">
        <v>3.7545117912890644</v>
      </c>
    </row>
    <row r="100" spans="1:13" x14ac:dyDescent="0.25">
      <c r="A100">
        <f t="shared" si="20"/>
        <v>384</v>
      </c>
      <c r="B100" s="3">
        <f t="shared" si="21"/>
        <v>96</v>
      </c>
      <c r="C100" s="3">
        <f t="shared" si="22"/>
        <v>5</v>
      </c>
      <c r="D100" s="4">
        <f t="shared" si="23"/>
        <v>0.13617936865542449</v>
      </c>
      <c r="E100" s="4">
        <f t="shared" si="24"/>
        <v>7.5979306188944307</v>
      </c>
      <c r="F100" s="4">
        <f t="shared" si="25"/>
        <v>8.8566186690572632E-2</v>
      </c>
      <c r="G100" s="4">
        <f t="shared" si="26"/>
        <v>11.682578119612076</v>
      </c>
      <c r="H100" s="4">
        <f t="shared" si="19"/>
        <v>0.13298766470256296</v>
      </c>
      <c r="I100" s="4">
        <f t="shared" si="27"/>
        <v>7.7802809537478987</v>
      </c>
      <c r="K100">
        <f t="shared" si="28"/>
        <v>384</v>
      </c>
      <c r="L100" s="4">
        <v>2.4863046557117574</v>
      </c>
      <c r="M100" s="4">
        <v>3.8229420386223976</v>
      </c>
    </row>
    <row r="101" spans="1:13" x14ac:dyDescent="0.25">
      <c r="A101">
        <f>A100+4</f>
        <v>388</v>
      </c>
      <c r="B101" s="3">
        <f>B100+1</f>
        <v>97</v>
      </c>
      <c r="C101" s="3">
        <f>C100-1</f>
        <v>4</v>
      </c>
      <c r="D101" s="4">
        <f t="shared" si="23"/>
        <v>0.10894349492433958</v>
      </c>
      <c r="E101" s="4">
        <f>4/D101/60+E100</f>
        <v>8.2098686397277643</v>
      </c>
      <c r="F101" s="4">
        <f>C101/7.48/3600/((0.31/12)^2*3.1415)</f>
        <v>7.0852949352458103E-2</v>
      </c>
      <c r="G101" s="4">
        <f>4/F101/60+G100</f>
        <v>12.62349402044541</v>
      </c>
      <c r="H101" s="4">
        <f t="shared" si="19"/>
        <v>0.10639013176205038</v>
      </c>
      <c r="I101" s="4">
        <f t="shared" si="27"/>
        <v>8.4069054870812323</v>
      </c>
      <c r="K101">
        <f t="shared" si="28"/>
        <v>388</v>
      </c>
      <c r="L101" s="4">
        <v>2.5316333979957082</v>
      </c>
      <c r="M101" s="4">
        <v>3.8926395127581999</v>
      </c>
    </row>
    <row r="102" spans="1:13" x14ac:dyDescent="0.25">
      <c r="A102">
        <f>A101+4</f>
        <v>392</v>
      </c>
      <c r="B102" s="3">
        <f>B101+1</f>
        <v>98</v>
      </c>
      <c r="C102" s="3">
        <f>C101-1</f>
        <v>3</v>
      </c>
      <c r="D102" s="4">
        <f t="shared" si="23"/>
        <v>8.1707621193254684E-2</v>
      </c>
      <c r="E102" s="4">
        <f>4/D102/60+E101</f>
        <v>9.0257860008388757</v>
      </c>
      <c r="F102" s="4">
        <f>C102/7.48/3600/((0.31/12)^2*3.1415)</f>
        <v>5.3139712014343581E-2</v>
      </c>
      <c r="G102" s="4">
        <f>4/F102/60+G101</f>
        <v>13.878048554889855</v>
      </c>
      <c r="H102" s="4">
        <f t="shared" si="19"/>
        <v>7.9792598821537788E-2</v>
      </c>
      <c r="I102" s="4">
        <f t="shared" si="27"/>
        <v>9.2424048648590098</v>
      </c>
      <c r="K102">
        <f t="shared" si="28"/>
        <v>392</v>
      </c>
      <c r="L102" s="4">
        <v>2.5778173995680351</v>
      </c>
      <c r="M102" s="4">
        <v>3.9636520335758099</v>
      </c>
    </row>
    <row r="103" spans="1:13" x14ac:dyDescent="0.25">
      <c r="A103">
        <f>A102+4</f>
        <v>396</v>
      </c>
      <c r="B103" s="3">
        <f>B102+1</f>
        <v>99</v>
      </c>
      <c r="C103" s="3">
        <f>C102-1</f>
        <v>2</v>
      </c>
      <c r="D103" s="4">
        <f t="shared" si="23"/>
        <v>5.4471747462169789E-2</v>
      </c>
      <c r="E103" s="4">
        <f>4/D103/60+E102</f>
        <v>10.249662042505543</v>
      </c>
      <c r="F103" s="4">
        <f>C103/7.48/3600/((0.31/12)^2*3.1415)</f>
        <v>3.5426474676229051E-2</v>
      </c>
      <c r="G103" s="4">
        <f>4/F103/60+G102</f>
        <v>15.759880356556522</v>
      </c>
      <c r="H103" s="4">
        <f t="shared" si="19"/>
        <v>5.319506588102519E-2</v>
      </c>
      <c r="I103" s="4">
        <f t="shared" si="27"/>
        <v>10.495653931525677</v>
      </c>
      <c r="K103">
        <f t="shared" si="28"/>
        <v>396</v>
      </c>
      <c r="L103" s="4">
        <v>2.624889555016753</v>
      </c>
      <c r="M103" s="4">
        <v>4.0360301797937588</v>
      </c>
    </row>
    <row r="104" spans="1:13" x14ac:dyDescent="0.25">
      <c r="A104">
        <f>A103+4</f>
        <v>400</v>
      </c>
      <c r="B104" s="3">
        <f>B103+1</f>
        <v>100</v>
      </c>
      <c r="C104" s="3">
        <f>C103-1</f>
        <v>1</v>
      </c>
      <c r="D104" s="4">
        <f t="shared" si="23"/>
        <v>2.7235873731084895E-2</v>
      </c>
      <c r="E104" s="4">
        <f>4/D104/60+E103</f>
        <v>12.697414125838876</v>
      </c>
      <c r="F104" s="4">
        <f>C104/7.48/3600/((0.31/12)^2*3.1415)</f>
        <v>1.7713237338114526E-2</v>
      </c>
      <c r="G104" s="4">
        <f>4/F104/60+G103</f>
        <v>19.523543959889857</v>
      </c>
      <c r="H104" s="4">
        <f t="shared" si="19"/>
        <v>2.6597532940512595E-2</v>
      </c>
      <c r="I104" s="4">
        <f t="shared" si="27"/>
        <v>13.002152064859011</v>
      </c>
      <c r="K104">
        <f t="shared" si="28"/>
        <v>400</v>
      </c>
      <c r="L104" s="4">
        <v>2.6728846939056421</v>
      </c>
      <c r="M104" s="4">
        <v>4.1098275053493145</v>
      </c>
    </row>
    <row r="105" spans="1:13" x14ac:dyDescent="0.25">
      <c r="A105">
        <f t="shared" ref="A105:A162" si="29">A104+4</f>
        <v>404</v>
      </c>
      <c r="B105" s="3">
        <f t="shared" ref="B105:B162" si="30">B104+1</f>
        <v>101</v>
      </c>
      <c r="C105" s="3">
        <f t="shared" ref="C105:C162" si="31">C104-1</f>
        <v>0</v>
      </c>
      <c r="D105" s="4">
        <f t="shared" si="23"/>
        <v>0</v>
      </c>
      <c r="E105" s="4" t="e">
        <f t="shared" ref="E105:E162" si="32">4/D105/60+E104</f>
        <v>#DIV/0!</v>
      </c>
      <c r="F105" s="4">
        <f t="shared" ref="F105:F162" si="33">C105/7.48/3600/((0.31/12)^2*3.1415)</f>
        <v>0</v>
      </c>
      <c r="G105" s="4" t="e">
        <f t="shared" ref="G105:G162" si="34">4/F105/60+G104</f>
        <v>#DIV/0!</v>
      </c>
      <c r="H105" s="4">
        <f t="shared" ref="H105:H162" si="35">C105*2.5/7.48/3600/((0.4/12)^2*3.1415)</f>
        <v>0</v>
      </c>
      <c r="I105" s="4" t="e">
        <f t="shared" ref="I105:I162" si="36">4/H105/60+I104</f>
        <v>#DIV/0!</v>
      </c>
      <c r="K105">
        <f t="shared" si="28"/>
        <v>404</v>
      </c>
      <c r="L105" s="4">
        <v>2.721839735572309</v>
      </c>
      <c r="M105" s="4">
        <v>4.1851007774159807</v>
      </c>
    </row>
    <row r="106" spans="1:13" x14ac:dyDescent="0.25">
      <c r="A106">
        <f t="shared" si="29"/>
        <v>408</v>
      </c>
      <c r="B106" s="3">
        <f t="shared" si="30"/>
        <v>102</v>
      </c>
      <c r="C106" s="3">
        <f t="shared" si="31"/>
        <v>-1</v>
      </c>
      <c r="D106" s="4">
        <f t="shared" si="23"/>
        <v>-2.7235873731084895E-2</v>
      </c>
      <c r="E106" s="4" t="e">
        <f t="shared" si="32"/>
        <v>#DIV/0!</v>
      </c>
      <c r="F106" s="4">
        <f t="shared" si="33"/>
        <v>-1.7713237338114526E-2</v>
      </c>
      <c r="G106" s="4" t="e">
        <f t="shared" si="34"/>
        <v>#DIV/0!</v>
      </c>
      <c r="H106" s="4">
        <f t="shared" si="35"/>
        <v>-2.6597532940512595E-2</v>
      </c>
      <c r="I106" s="4" t="e">
        <f t="shared" si="36"/>
        <v>#DIV/0!</v>
      </c>
      <c r="K106">
        <f t="shared" si="28"/>
        <v>408</v>
      </c>
      <c r="L106" s="4">
        <v>2.7717938597219689</v>
      </c>
      <c r="M106" s="4">
        <v>4.2619102387084977</v>
      </c>
    </row>
    <row r="107" spans="1:13" x14ac:dyDescent="0.25">
      <c r="A107">
        <f t="shared" si="29"/>
        <v>412</v>
      </c>
      <c r="B107" s="3">
        <f t="shared" si="30"/>
        <v>103</v>
      </c>
      <c r="C107" s="3">
        <f t="shared" si="31"/>
        <v>-2</v>
      </c>
      <c r="D107" s="4">
        <f t="shared" si="23"/>
        <v>-5.4471747462169789E-2</v>
      </c>
      <c r="E107" s="4" t="e">
        <f t="shared" si="32"/>
        <v>#DIV/0!</v>
      </c>
      <c r="F107" s="4">
        <f t="shared" si="33"/>
        <v>-3.5426474676229051E-2</v>
      </c>
      <c r="G107" s="4" t="e">
        <f t="shared" si="34"/>
        <v>#DIV/0!</v>
      </c>
      <c r="H107" s="4">
        <f t="shared" si="35"/>
        <v>-5.319506588102519E-2</v>
      </c>
      <c r="I107" s="4" t="e">
        <f t="shared" si="36"/>
        <v>#DIV/0!</v>
      </c>
      <c r="K107">
        <f t="shared" si="28"/>
        <v>412</v>
      </c>
      <c r="L107" s="4">
        <v>2.8227886947914134</v>
      </c>
      <c r="M107" s="4">
        <v>4.3403198971112751</v>
      </c>
    </row>
    <row r="108" spans="1:13" x14ac:dyDescent="0.25">
      <c r="A108">
        <f t="shared" si="29"/>
        <v>416</v>
      </c>
      <c r="B108" s="3">
        <f t="shared" si="30"/>
        <v>104</v>
      </c>
      <c r="C108" s="3">
        <f t="shared" si="31"/>
        <v>-3</v>
      </c>
      <c r="D108" s="4">
        <f t="shared" si="23"/>
        <v>-8.1707621193254684E-2</v>
      </c>
      <c r="E108" s="4" t="e">
        <f t="shared" si="32"/>
        <v>#DIV/0!</v>
      </c>
      <c r="F108" s="4">
        <f t="shared" si="33"/>
        <v>-5.3139712014343581E-2</v>
      </c>
      <c r="G108" s="4" t="e">
        <f t="shared" si="34"/>
        <v>#DIV/0!</v>
      </c>
      <c r="H108" s="4">
        <f t="shared" si="35"/>
        <v>-7.9792598821537788E-2</v>
      </c>
      <c r="I108" s="4" t="e">
        <f t="shared" si="36"/>
        <v>#DIV/0!</v>
      </c>
      <c r="K108">
        <f t="shared" si="28"/>
        <v>416</v>
      </c>
      <c r="L108" s="4">
        <v>2.8748685263516971</v>
      </c>
      <c r="M108" s="4">
        <v>4.4203978461183677</v>
      </c>
    </row>
    <row r="109" spans="1:13" x14ac:dyDescent="0.25">
      <c r="A109">
        <f t="shared" si="29"/>
        <v>420</v>
      </c>
      <c r="B109" s="3">
        <f t="shared" si="30"/>
        <v>105</v>
      </c>
      <c r="C109" s="3">
        <f t="shared" si="31"/>
        <v>-4</v>
      </c>
      <c r="D109" s="4">
        <f t="shared" si="23"/>
        <v>-0.10894349492433958</v>
      </c>
      <c r="E109" s="4" t="e">
        <f t="shared" si="32"/>
        <v>#DIV/0!</v>
      </c>
      <c r="F109" s="4">
        <f t="shared" si="33"/>
        <v>-7.0852949352458103E-2</v>
      </c>
      <c r="G109" s="4" t="e">
        <f t="shared" si="34"/>
        <v>#DIV/0!</v>
      </c>
      <c r="H109" s="4">
        <f t="shared" si="35"/>
        <v>-0.10639013176205038</v>
      </c>
      <c r="I109" s="4" t="e">
        <f t="shared" si="36"/>
        <v>#DIV/0!</v>
      </c>
      <c r="K109">
        <f t="shared" si="28"/>
        <v>420</v>
      </c>
      <c r="L109" s="4">
        <v>2.9280805281632913</v>
      </c>
      <c r="M109" s="4">
        <v>4.5022166201038747</v>
      </c>
    </row>
    <row r="110" spans="1:13" x14ac:dyDescent="0.25">
      <c r="A110">
        <f t="shared" si="29"/>
        <v>424</v>
      </c>
      <c r="B110" s="3">
        <f t="shared" si="30"/>
        <v>106</v>
      </c>
      <c r="C110" s="3">
        <f t="shared" si="31"/>
        <v>-5</v>
      </c>
      <c r="D110" s="4">
        <f t="shared" si="23"/>
        <v>-0.13617936865542449</v>
      </c>
      <c r="E110" s="4" t="e">
        <f t="shared" si="32"/>
        <v>#DIV/0!</v>
      </c>
      <c r="F110" s="4">
        <f t="shared" si="33"/>
        <v>-8.8566186690572632E-2</v>
      </c>
      <c r="G110" s="4" t="e">
        <f t="shared" si="34"/>
        <v>#DIV/0!</v>
      </c>
      <c r="H110" s="4">
        <f t="shared" si="35"/>
        <v>-0.13298766470256296</v>
      </c>
      <c r="I110" s="4" t="e">
        <f t="shared" si="36"/>
        <v>#DIV/0!</v>
      </c>
      <c r="K110">
        <f t="shared" si="28"/>
        <v>424</v>
      </c>
      <c r="L110" s="4">
        <v>2.9824750189040321</v>
      </c>
      <c r="M110" s="4">
        <v>4.5858535890668373</v>
      </c>
    </row>
    <row r="111" spans="1:13" x14ac:dyDescent="0.25">
      <c r="A111">
        <f t="shared" si="29"/>
        <v>428</v>
      </c>
      <c r="B111" s="3">
        <f t="shared" si="30"/>
        <v>107</v>
      </c>
      <c r="C111" s="3">
        <f t="shared" si="31"/>
        <v>-6</v>
      </c>
      <c r="D111" s="4">
        <f t="shared" si="23"/>
        <v>-0.16341524238650937</v>
      </c>
      <c r="E111" s="4" t="e">
        <f t="shared" si="32"/>
        <v>#DIV/0!</v>
      </c>
      <c r="F111" s="4">
        <f t="shared" si="33"/>
        <v>-0.10627942402868716</v>
      </c>
      <c r="G111" s="4" t="e">
        <f t="shared" si="34"/>
        <v>#DIV/0!</v>
      </c>
      <c r="H111" s="4">
        <f t="shared" si="35"/>
        <v>-0.15958519764307558</v>
      </c>
      <c r="I111" s="4" t="e">
        <f t="shared" si="36"/>
        <v>#DIV/0!</v>
      </c>
      <c r="K111">
        <f t="shared" si="28"/>
        <v>428</v>
      </c>
      <c r="L111" s="4">
        <v>3.0381057480706986</v>
      </c>
      <c r="M111" s="4">
        <v>4.6713913982335038</v>
      </c>
    </row>
    <row r="112" spans="1:13" x14ac:dyDescent="0.25">
      <c r="A112">
        <f t="shared" si="29"/>
        <v>432</v>
      </c>
      <c r="B112" s="3">
        <f t="shared" si="30"/>
        <v>108</v>
      </c>
      <c r="C112" s="3">
        <f t="shared" si="31"/>
        <v>-7</v>
      </c>
      <c r="D112" s="4">
        <f t="shared" si="23"/>
        <v>-0.19065111611759428</v>
      </c>
      <c r="E112" s="4" t="e">
        <f t="shared" si="32"/>
        <v>#DIV/0!</v>
      </c>
      <c r="F112" s="4">
        <f t="shared" si="33"/>
        <v>-0.12399266136680169</v>
      </c>
      <c r="G112" s="4" t="e">
        <f t="shared" si="34"/>
        <v>#DIV/0!</v>
      </c>
      <c r="H112" s="4">
        <f t="shared" si="35"/>
        <v>-0.18618273058358814</v>
      </c>
      <c r="I112" s="4" t="e">
        <f t="shared" si="36"/>
        <v>#DIV/0!</v>
      </c>
      <c r="K112">
        <f t="shared" si="28"/>
        <v>432</v>
      </c>
      <c r="L112" s="4">
        <v>3.0950302151249622</v>
      </c>
      <c r="M112" s="4">
        <v>4.7589184587761393</v>
      </c>
    </row>
    <row r="113" spans="1:13" x14ac:dyDescent="0.25">
      <c r="A113">
        <f t="shared" si="29"/>
        <v>436</v>
      </c>
      <c r="B113" s="3">
        <f t="shared" si="30"/>
        <v>109</v>
      </c>
      <c r="C113" s="3">
        <f t="shared" si="31"/>
        <v>-8</v>
      </c>
      <c r="D113" s="4">
        <f t="shared" si="23"/>
        <v>-0.21788698984867916</v>
      </c>
      <c r="E113" s="4" t="e">
        <f t="shared" si="32"/>
        <v>#DIV/0!</v>
      </c>
      <c r="F113" s="4">
        <f t="shared" si="33"/>
        <v>-0.14170589870491621</v>
      </c>
      <c r="G113" s="4" t="e">
        <f t="shared" si="34"/>
        <v>#DIV/0!</v>
      </c>
      <c r="H113" s="4">
        <f t="shared" si="35"/>
        <v>-0.21278026352410076</v>
      </c>
      <c r="I113" s="4" t="e">
        <f t="shared" si="36"/>
        <v>#DIV/0!</v>
      </c>
      <c r="K113">
        <f t="shared" si="28"/>
        <v>436</v>
      </c>
      <c r="L113" s="4">
        <v>3.1533100266328988</v>
      </c>
      <c r="M113" s="4">
        <v>4.8485294969507429</v>
      </c>
    </row>
    <row r="114" spans="1:13" x14ac:dyDescent="0.25">
      <c r="A114">
        <f t="shared" si="29"/>
        <v>440</v>
      </c>
      <c r="B114" s="3">
        <f t="shared" si="30"/>
        <v>110</v>
      </c>
      <c r="C114" s="3">
        <f t="shared" si="31"/>
        <v>-9</v>
      </c>
      <c r="D114" s="4">
        <f t="shared" si="23"/>
        <v>-0.24512286357976407</v>
      </c>
      <c r="E114" s="4" t="e">
        <f t="shared" si="32"/>
        <v>#DIV/0!</v>
      </c>
      <c r="F114" s="4">
        <f t="shared" si="33"/>
        <v>-0.15941913604303073</v>
      </c>
      <c r="G114" s="4" t="e">
        <f t="shared" si="34"/>
        <v>#DIV/0!</v>
      </c>
      <c r="H114" s="4">
        <f t="shared" si="35"/>
        <v>-0.23937779646461335</v>
      </c>
      <c r="I114" s="4" t="e">
        <f t="shared" si="36"/>
        <v>#DIV/0!</v>
      </c>
      <c r="K114">
        <f t="shared" si="28"/>
        <v>440</v>
      </c>
      <c r="L114" s="4">
        <v>3.2130112969581019</v>
      </c>
      <c r="M114" s="4">
        <v>4.9403261702027752</v>
      </c>
    </row>
    <row r="115" spans="1:13" x14ac:dyDescent="0.25">
      <c r="A115">
        <f t="shared" si="29"/>
        <v>444</v>
      </c>
      <c r="B115" s="3">
        <f t="shared" si="30"/>
        <v>111</v>
      </c>
      <c r="C115" s="3">
        <f t="shared" si="31"/>
        <v>-10</v>
      </c>
      <c r="D115" s="4">
        <f t="shared" si="23"/>
        <v>-0.27235873731084898</v>
      </c>
      <c r="E115" s="4" t="e">
        <f t="shared" si="32"/>
        <v>#DIV/0!</v>
      </c>
      <c r="F115" s="4">
        <f t="shared" si="33"/>
        <v>-0.17713237338114526</v>
      </c>
      <c r="G115" s="4" t="e">
        <f t="shared" si="34"/>
        <v>#DIV/0!</v>
      </c>
      <c r="H115" s="4">
        <f t="shared" si="35"/>
        <v>-0.26597532940512592</v>
      </c>
      <c r="I115" s="4" t="e">
        <f t="shared" si="36"/>
        <v>#DIV/0!</v>
      </c>
      <c r="K115">
        <f t="shared" si="28"/>
        <v>444</v>
      </c>
      <c r="L115" s="4">
        <v>3.2742050990414353</v>
      </c>
      <c r="M115" s="4">
        <v>5.0344177602861082</v>
      </c>
    </row>
    <row r="116" spans="1:13" x14ac:dyDescent="0.25">
      <c r="A116">
        <f t="shared" si="29"/>
        <v>448</v>
      </c>
      <c r="B116" s="3">
        <f t="shared" si="30"/>
        <v>112</v>
      </c>
      <c r="C116" s="3">
        <f t="shared" si="31"/>
        <v>-11</v>
      </c>
      <c r="D116" s="4">
        <f t="shared" si="23"/>
        <v>-0.29959461104193386</v>
      </c>
      <c r="E116" s="4" t="e">
        <f t="shared" si="32"/>
        <v>#DIV/0!</v>
      </c>
      <c r="F116" s="4">
        <f t="shared" si="33"/>
        <v>-0.19484561071925979</v>
      </c>
      <c r="G116" s="4" t="e">
        <f t="shared" si="34"/>
        <v>#DIV/0!</v>
      </c>
      <c r="H116" s="4">
        <f t="shared" si="35"/>
        <v>-0.29257286234563851</v>
      </c>
      <c r="I116" s="4" t="e">
        <f t="shared" si="36"/>
        <v>#DIV/0!</v>
      </c>
      <c r="K116">
        <f t="shared" si="28"/>
        <v>448</v>
      </c>
      <c r="L116" s="4">
        <v>3.336967972973059</v>
      </c>
      <c r="M116" s="4">
        <v>5.1309219552433731</v>
      </c>
    </row>
    <row r="117" spans="1:13" x14ac:dyDescent="0.25">
      <c r="A117">
        <f t="shared" si="29"/>
        <v>452</v>
      </c>
      <c r="B117" s="3">
        <f t="shared" si="30"/>
        <v>113</v>
      </c>
      <c r="C117" s="3">
        <f t="shared" si="31"/>
        <v>-12</v>
      </c>
      <c r="D117" s="4">
        <f t="shared" si="23"/>
        <v>-0.32683048477301874</v>
      </c>
      <c r="E117" s="4" t="e">
        <f t="shared" si="32"/>
        <v>#DIV/0!</v>
      </c>
      <c r="F117" s="4">
        <f t="shared" si="33"/>
        <v>-0.21255884805737432</v>
      </c>
      <c r="G117" s="4" t="e">
        <f t="shared" si="34"/>
        <v>#DIV/0!</v>
      </c>
      <c r="H117" s="4">
        <f t="shared" si="35"/>
        <v>-0.31917039528615115</v>
      </c>
      <c r="I117" s="4" t="e">
        <f t="shared" si="36"/>
        <v>#DIV/0!</v>
      </c>
      <c r="K117">
        <f t="shared" si="28"/>
        <v>452</v>
      </c>
      <c r="L117" s="4">
        <v>3.4013825014818311</v>
      </c>
      <c r="M117" s="4">
        <v>5.2299657342784611</v>
      </c>
    </row>
    <row r="118" spans="1:13" x14ac:dyDescent="0.25">
      <c r="A118">
        <f t="shared" si="29"/>
        <v>456</v>
      </c>
      <c r="B118" s="3">
        <f t="shared" si="30"/>
        <v>114</v>
      </c>
      <c r="C118" s="3">
        <f t="shared" si="31"/>
        <v>-13</v>
      </c>
      <c r="D118" s="4">
        <f t="shared" si="23"/>
        <v>-0.35406635850410362</v>
      </c>
      <c r="E118" s="4" t="e">
        <f t="shared" si="32"/>
        <v>#DIV/0!</v>
      </c>
      <c r="F118" s="4">
        <f t="shared" si="33"/>
        <v>-0.23027208539548882</v>
      </c>
      <c r="G118" s="4" t="e">
        <f t="shared" si="34"/>
        <v>#DIV/0!</v>
      </c>
      <c r="H118" s="4">
        <f t="shared" si="35"/>
        <v>-0.34576792822666375</v>
      </c>
      <c r="I118" s="4" t="e">
        <f t="shared" si="36"/>
        <v>#DIV/0!</v>
      </c>
      <c r="K118">
        <f t="shared" si="28"/>
        <v>456</v>
      </c>
      <c r="L118" s="4">
        <v>3.4675379631935428</v>
      </c>
      <c r="M118" s="4">
        <v>5.3316863722063887</v>
      </c>
    </row>
    <row r="119" spans="1:13" x14ac:dyDescent="0.25">
      <c r="A119">
        <f t="shared" si="29"/>
        <v>460</v>
      </c>
      <c r="B119" s="3">
        <f t="shared" si="30"/>
        <v>115</v>
      </c>
      <c r="C119" s="3">
        <f t="shared" si="31"/>
        <v>-14</v>
      </c>
      <c r="D119" s="4">
        <f t="shared" si="23"/>
        <v>-0.38130223223518855</v>
      </c>
      <c r="E119" s="4" t="e">
        <f t="shared" si="32"/>
        <v>#DIV/0!</v>
      </c>
      <c r="F119" s="4">
        <f t="shared" si="33"/>
        <v>-0.24798532273360338</v>
      </c>
      <c r="G119" s="4" t="e">
        <f t="shared" si="34"/>
        <v>#DIV/0!</v>
      </c>
      <c r="H119" s="4">
        <f t="shared" si="35"/>
        <v>-0.37236546116717628</v>
      </c>
      <c r="I119" s="4" t="e">
        <f t="shared" si="36"/>
        <v>#DIV/0!</v>
      </c>
      <c r="K119">
        <f t="shared" si="28"/>
        <v>460</v>
      </c>
      <c r="L119" s="4">
        <v>3.5355310766194687</v>
      </c>
      <c r="M119" s="4">
        <v>5.4362325834100922</v>
      </c>
    </row>
    <row r="120" spans="1:13" x14ac:dyDescent="0.25">
      <c r="A120">
        <f t="shared" si="29"/>
        <v>464</v>
      </c>
      <c r="B120" s="3">
        <f t="shared" si="30"/>
        <v>116</v>
      </c>
      <c r="C120" s="3">
        <f t="shared" si="31"/>
        <v>-15</v>
      </c>
      <c r="D120" s="4">
        <f t="shared" si="23"/>
        <v>-0.40853810596627349</v>
      </c>
      <c r="E120" s="4" t="e">
        <f t="shared" si="32"/>
        <v>#DIV/0!</v>
      </c>
      <c r="F120" s="4">
        <f t="shared" si="33"/>
        <v>-0.26569856007171794</v>
      </c>
      <c r="G120" s="4" t="e">
        <f t="shared" si="34"/>
        <v>#DIV/0!</v>
      </c>
      <c r="H120" s="4">
        <f t="shared" si="35"/>
        <v>-0.39896299410768887</v>
      </c>
      <c r="I120" s="4" t="e">
        <f t="shared" si="36"/>
        <v>#DIV/0!</v>
      </c>
      <c r="K120">
        <f t="shared" si="28"/>
        <v>464</v>
      </c>
      <c r="L120" s="4">
        <v>3.6054668504289924</v>
      </c>
      <c r="M120" s="4">
        <v>5.5437658292196161</v>
      </c>
    </row>
    <row r="121" spans="1:13" x14ac:dyDescent="0.25">
      <c r="A121">
        <f t="shared" si="29"/>
        <v>468</v>
      </c>
      <c r="B121" s="3">
        <f t="shared" si="30"/>
        <v>117</v>
      </c>
      <c r="C121" s="3">
        <f t="shared" si="31"/>
        <v>-16</v>
      </c>
      <c r="D121" s="4">
        <f t="shared" si="23"/>
        <v>-0.43577397969735832</v>
      </c>
      <c r="E121" s="4" t="e">
        <f t="shared" si="32"/>
        <v>#DIV/0!</v>
      </c>
      <c r="F121" s="4">
        <f t="shared" si="33"/>
        <v>-0.28341179740983241</v>
      </c>
      <c r="G121" s="4" t="e">
        <f t="shared" si="34"/>
        <v>#DIV/0!</v>
      </c>
      <c r="H121" s="4">
        <f t="shared" si="35"/>
        <v>-0.42556052704820152</v>
      </c>
      <c r="I121" s="4" t="e">
        <f t="shared" si="36"/>
        <v>#DIV/0!</v>
      </c>
      <c r="K121">
        <f t="shared" si="28"/>
        <v>468</v>
      </c>
      <c r="L121" s="4">
        <v>3.6774595587623256</v>
      </c>
      <c r="M121" s="4">
        <v>5.6544618175529493</v>
      </c>
    </row>
    <row r="122" spans="1:13" x14ac:dyDescent="0.25">
      <c r="A122">
        <f t="shared" si="29"/>
        <v>472</v>
      </c>
      <c r="B122" s="3">
        <f t="shared" si="30"/>
        <v>118</v>
      </c>
      <c r="C122" s="3">
        <f t="shared" si="31"/>
        <v>-17</v>
      </c>
      <c r="D122" s="4">
        <f t="shared" si="23"/>
        <v>-0.4630098534284432</v>
      </c>
      <c r="E122" s="4" t="e">
        <f t="shared" si="32"/>
        <v>#DIV/0!</v>
      </c>
      <c r="F122" s="4">
        <f t="shared" si="33"/>
        <v>-0.30112503474794694</v>
      </c>
      <c r="G122" s="4" t="e">
        <f t="shared" si="34"/>
        <v>#DIV/0!</v>
      </c>
      <c r="H122" s="4">
        <f t="shared" si="35"/>
        <v>-0.45215805998871411</v>
      </c>
      <c r="I122" s="4" t="e">
        <f t="shared" si="36"/>
        <v>#DIV/0!</v>
      </c>
      <c r="K122">
        <f t="shared" si="28"/>
        <v>472</v>
      </c>
      <c r="L122" s="4">
        <v>3.7516338643178813</v>
      </c>
      <c r="M122" s="4">
        <v>5.7685122297751716</v>
      </c>
    </row>
    <row r="123" spans="1:13" x14ac:dyDescent="0.25">
      <c r="A123">
        <f t="shared" si="29"/>
        <v>476</v>
      </c>
      <c r="B123" s="3">
        <f t="shared" si="30"/>
        <v>119</v>
      </c>
      <c r="C123" s="3">
        <f t="shared" si="31"/>
        <v>-18</v>
      </c>
      <c r="D123" s="4">
        <f t="shared" si="23"/>
        <v>-0.49024572715952813</v>
      </c>
      <c r="E123" s="4" t="e">
        <f t="shared" si="32"/>
        <v>#DIV/0!</v>
      </c>
      <c r="F123" s="4">
        <f t="shared" si="33"/>
        <v>-0.31883827208606147</v>
      </c>
      <c r="G123" s="4" t="e">
        <f t="shared" si="34"/>
        <v>#DIV/0!</v>
      </c>
      <c r="H123" s="4">
        <f t="shared" si="35"/>
        <v>-0.4787555929292267</v>
      </c>
      <c r="I123" s="4" t="e">
        <f t="shared" si="36"/>
        <v>#DIV/0!</v>
      </c>
      <c r="K123">
        <f t="shared" si="28"/>
        <v>476</v>
      </c>
      <c r="L123" s="4">
        <v>3.8281261169220477</v>
      </c>
      <c r="M123" s="4">
        <v>5.8861267173793381</v>
      </c>
    </row>
    <row r="124" spans="1:13" x14ac:dyDescent="0.25">
      <c r="A124">
        <f t="shared" si="29"/>
        <v>480</v>
      </c>
      <c r="B124" s="3">
        <f t="shared" si="30"/>
        <v>120</v>
      </c>
      <c r="C124" s="3">
        <f t="shared" si="31"/>
        <v>-19</v>
      </c>
      <c r="D124" s="4">
        <f t="shared" si="23"/>
        <v>-0.51748160089061301</v>
      </c>
      <c r="E124" s="4" t="e">
        <f t="shared" si="32"/>
        <v>#DIV/0!</v>
      </c>
      <c r="F124" s="4">
        <f t="shared" si="33"/>
        <v>-0.336551509424176</v>
      </c>
      <c r="G124" s="4" t="e">
        <f t="shared" si="34"/>
        <v>#DIV/0!</v>
      </c>
      <c r="H124" s="4">
        <f t="shared" si="35"/>
        <v>-0.50535312586973924</v>
      </c>
      <c r="I124" s="4" t="e">
        <f t="shared" si="36"/>
        <v>#DIV/0!</v>
      </c>
      <c r="K124">
        <f t="shared" si="28"/>
        <v>480</v>
      </c>
      <c r="L124" s="4">
        <v>3.9070858615457036</v>
      </c>
      <c r="M124" s="4">
        <v>6.0075352207126711</v>
      </c>
    </row>
    <row r="125" spans="1:13" x14ac:dyDescent="0.25">
      <c r="A125">
        <f t="shared" si="29"/>
        <v>484</v>
      </c>
      <c r="B125" s="3">
        <f t="shared" si="30"/>
        <v>121</v>
      </c>
      <c r="C125" s="3">
        <f t="shared" si="31"/>
        <v>-20</v>
      </c>
      <c r="D125" s="4">
        <f t="shared" si="23"/>
        <v>-0.54471747462169795</v>
      </c>
      <c r="E125" s="4" t="e">
        <f t="shared" si="32"/>
        <v>#DIV/0!</v>
      </c>
      <c r="F125" s="4">
        <f t="shared" si="33"/>
        <v>-0.35426474676229053</v>
      </c>
      <c r="G125" s="4" t="e">
        <f t="shared" si="34"/>
        <v>#DIV/0!</v>
      </c>
      <c r="H125" s="4">
        <f t="shared" si="35"/>
        <v>-0.53195065881025183</v>
      </c>
      <c r="I125" s="4" t="e">
        <f t="shared" si="36"/>
        <v>#DIV/0!</v>
      </c>
      <c r="K125">
        <f t="shared" si="28"/>
        <v>484</v>
      </c>
      <c r="L125" s="4">
        <v>3.9886775976568147</v>
      </c>
      <c r="M125" s="4">
        <v>6.1329906741571154</v>
      </c>
    </row>
    <row r="126" spans="1:13" x14ac:dyDescent="0.25">
      <c r="A126">
        <f t="shared" si="29"/>
        <v>488</v>
      </c>
      <c r="B126" s="3">
        <f t="shared" si="30"/>
        <v>122</v>
      </c>
      <c r="C126" s="3">
        <f t="shared" si="31"/>
        <v>-21</v>
      </c>
      <c r="D126" s="4">
        <f t="shared" si="23"/>
        <v>-0.57195334835278278</v>
      </c>
      <c r="E126" s="4" t="e">
        <f t="shared" si="32"/>
        <v>#DIV/0!</v>
      </c>
      <c r="F126" s="4">
        <f t="shared" si="33"/>
        <v>-0.37197798410040506</v>
      </c>
      <c r="G126" s="4" t="e">
        <f t="shared" si="34"/>
        <v>#DIV/0!</v>
      </c>
      <c r="H126" s="4">
        <f t="shared" si="35"/>
        <v>-0.55854819175076442</v>
      </c>
      <c r="I126" s="4" t="e">
        <f t="shared" si="36"/>
        <v>#DIV/0!</v>
      </c>
      <c r="K126">
        <f t="shared" si="28"/>
        <v>488</v>
      </c>
      <c r="L126" s="4">
        <v>4.0730828419096881</v>
      </c>
      <c r="M126" s="4">
        <v>6.2627721777203336</v>
      </c>
    </row>
    <row r="127" spans="1:13" x14ac:dyDescent="0.25">
      <c r="A127">
        <f t="shared" si="29"/>
        <v>492</v>
      </c>
      <c r="B127" s="3">
        <f t="shared" si="30"/>
        <v>123</v>
      </c>
      <c r="C127" s="3">
        <f t="shared" si="31"/>
        <v>-22</v>
      </c>
      <c r="D127" s="4">
        <f t="shared" si="23"/>
        <v>-0.59918922208386771</v>
      </c>
      <c r="E127" s="4" t="e">
        <f t="shared" si="32"/>
        <v>#DIV/0!</v>
      </c>
      <c r="F127" s="4">
        <f t="shared" si="33"/>
        <v>-0.38969122143851959</v>
      </c>
      <c r="G127" s="4" t="e">
        <f t="shared" si="34"/>
        <v>#DIV/0!</v>
      </c>
      <c r="H127" s="4">
        <f t="shared" si="35"/>
        <v>-0.58514572469127701</v>
      </c>
      <c r="I127" s="4" t="e">
        <f t="shared" si="36"/>
        <v>#DIV/0!</v>
      </c>
      <c r="K127">
        <f t="shared" si="28"/>
        <v>492</v>
      </c>
      <c r="L127" s="4">
        <v>4.1605025591715927</v>
      </c>
      <c r="M127" s="4">
        <v>6.3971887349822385</v>
      </c>
    </row>
    <row r="128" spans="1:13" x14ac:dyDescent="0.25">
      <c r="A128">
        <f t="shared" si="29"/>
        <v>496</v>
      </c>
      <c r="B128" s="3">
        <f t="shared" si="30"/>
        <v>124</v>
      </c>
      <c r="C128" s="3">
        <f t="shared" si="31"/>
        <v>-23</v>
      </c>
      <c r="D128" s="4">
        <f t="shared" si="23"/>
        <v>-0.62642509581495265</v>
      </c>
      <c r="E128" s="4" t="e">
        <f t="shared" si="32"/>
        <v>#DIV/0!</v>
      </c>
      <c r="F128" s="4">
        <f t="shared" si="33"/>
        <v>-0.40740445877663412</v>
      </c>
      <c r="G128" s="4" t="e">
        <f t="shared" si="34"/>
        <v>#DIV/0!</v>
      </c>
      <c r="H128" s="4">
        <f t="shared" si="35"/>
        <v>-0.61174325763178961</v>
      </c>
      <c r="I128" s="4" t="e">
        <f t="shared" si="36"/>
        <v>#DIV/0!</v>
      </c>
      <c r="K128">
        <f t="shared" si="28"/>
        <v>496</v>
      </c>
      <c r="L128" s="4">
        <v>4.2511600437394943</v>
      </c>
      <c r="M128" s="4">
        <v>6.5365836832538431</v>
      </c>
    </row>
    <row r="129" spans="1:13" x14ac:dyDescent="0.25">
      <c r="A129">
        <f t="shared" si="29"/>
        <v>500</v>
      </c>
      <c r="B129" s="3">
        <f t="shared" si="30"/>
        <v>125</v>
      </c>
      <c r="C129" s="3">
        <f t="shared" si="31"/>
        <v>-24</v>
      </c>
      <c r="D129" s="4">
        <f t="shared" si="23"/>
        <v>-0.65366096954603747</v>
      </c>
      <c r="E129" s="4" t="e">
        <f t="shared" si="32"/>
        <v>#DIV/0!</v>
      </c>
      <c r="F129" s="4">
        <f t="shared" si="33"/>
        <v>-0.42511769611474864</v>
      </c>
      <c r="G129" s="4" t="e">
        <f t="shared" si="34"/>
        <v>#DIV/0!</v>
      </c>
      <c r="H129" s="4">
        <f t="shared" si="35"/>
        <v>-0.63834079057230231</v>
      </c>
      <c r="I129" s="4" t="e">
        <f t="shared" si="36"/>
        <v>#DIV/0!</v>
      </c>
      <c r="K129">
        <f t="shared" si="28"/>
        <v>500</v>
      </c>
      <c r="L129" s="4">
        <v>4.3453043546369301</v>
      </c>
      <c r="M129" s="4">
        <v>6.6813399756897409</v>
      </c>
    </row>
    <row r="130" spans="1:13" x14ac:dyDescent="0.25">
      <c r="A130">
        <f t="shared" si="29"/>
        <v>504</v>
      </c>
      <c r="B130" s="3">
        <f t="shared" si="30"/>
        <v>126</v>
      </c>
      <c r="C130" s="3">
        <f t="shared" si="31"/>
        <v>-25</v>
      </c>
      <c r="D130" s="4">
        <f t="shared" si="23"/>
        <v>-0.6808968432771223</v>
      </c>
      <c r="E130" s="4" t="e">
        <f t="shared" si="32"/>
        <v>#DIV/0!</v>
      </c>
      <c r="F130" s="4">
        <f t="shared" si="33"/>
        <v>-0.44283093345286312</v>
      </c>
      <c r="G130" s="4" t="e">
        <f t="shared" si="34"/>
        <v>#DIV/0!</v>
      </c>
      <c r="H130" s="4">
        <f t="shared" si="35"/>
        <v>-0.6649383235128149</v>
      </c>
      <c r="I130" s="4" t="e">
        <f t="shared" si="36"/>
        <v>#DIV/0!</v>
      </c>
      <c r="K130">
        <f t="shared" si="28"/>
        <v>504</v>
      </c>
      <c r="L130" s="4">
        <v>4.4432144379702638</v>
      </c>
      <c r="M130" s="4">
        <v>6.8318865198230743</v>
      </c>
    </row>
    <row r="131" spans="1:13" x14ac:dyDescent="0.25">
      <c r="A131">
        <f t="shared" si="29"/>
        <v>508</v>
      </c>
      <c r="B131" s="3">
        <f t="shared" si="30"/>
        <v>127</v>
      </c>
      <c r="C131" s="3">
        <f t="shared" si="31"/>
        <v>-26</v>
      </c>
      <c r="D131" s="4">
        <f t="shared" si="23"/>
        <v>-0.70813271700820724</v>
      </c>
      <c r="E131" s="4" t="e">
        <f t="shared" si="32"/>
        <v>#DIV/0!</v>
      </c>
      <c r="F131" s="4">
        <f t="shared" si="33"/>
        <v>-0.46054417079097765</v>
      </c>
      <c r="G131" s="4" t="e">
        <f t="shared" si="34"/>
        <v>#DIV/0!</v>
      </c>
      <c r="H131" s="4">
        <f t="shared" si="35"/>
        <v>-0.69153585645332749</v>
      </c>
      <c r="I131" s="4" t="e">
        <f t="shared" si="36"/>
        <v>#DIV/0!</v>
      </c>
      <c r="K131">
        <f t="shared" si="28"/>
        <v>508</v>
      </c>
      <c r="L131" s="4">
        <v>4.5452041081091528</v>
      </c>
      <c r="M131" s="4">
        <v>6.9887058366286299</v>
      </c>
    </row>
    <row r="132" spans="1:13" x14ac:dyDescent="0.25">
      <c r="A132">
        <f t="shared" si="29"/>
        <v>512</v>
      </c>
      <c r="B132" s="3">
        <f t="shared" si="30"/>
        <v>128</v>
      </c>
      <c r="C132" s="3">
        <f t="shared" si="31"/>
        <v>-27</v>
      </c>
      <c r="D132" s="4">
        <f t="shared" si="23"/>
        <v>-0.73536859073929217</v>
      </c>
      <c r="E132" s="4" t="e">
        <f t="shared" si="32"/>
        <v>#DIV/0!</v>
      </c>
      <c r="F132" s="4">
        <f t="shared" si="33"/>
        <v>-0.47825740812909218</v>
      </c>
      <c r="G132" s="4" t="e">
        <f t="shared" si="34"/>
        <v>#DIV/0!</v>
      </c>
      <c r="H132" s="4">
        <f t="shared" si="35"/>
        <v>-0.71813338939384008</v>
      </c>
      <c r="I132" s="4" t="e">
        <f t="shared" si="36"/>
        <v>#DIV/0!</v>
      </c>
      <c r="K132">
        <f t="shared" si="28"/>
        <v>512</v>
      </c>
      <c r="L132" s="4">
        <v>4.6516281117323413</v>
      </c>
      <c r="M132" s="4">
        <v>7.1523433845996447</v>
      </c>
    </row>
    <row r="133" spans="1:13" x14ac:dyDescent="0.25">
      <c r="A133">
        <f t="shared" si="29"/>
        <v>516</v>
      </c>
      <c r="B133" s="3">
        <f t="shared" si="30"/>
        <v>129</v>
      </c>
      <c r="C133" s="3">
        <f t="shared" si="31"/>
        <v>-28</v>
      </c>
      <c r="D133" s="4">
        <f t="shared" si="23"/>
        <v>-0.76260446447037711</v>
      </c>
      <c r="E133" s="4" t="e">
        <f t="shared" si="32"/>
        <v>#DIV/0!</v>
      </c>
      <c r="F133" s="4">
        <f t="shared" si="33"/>
        <v>-0.49597064546720676</v>
      </c>
      <c r="G133" s="4" t="e">
        <f t="shared" si="34"/>
        <v>#DIV/0!</v>
      </c>
      <c r="H133" s="4">
        <f t="shared" si="35"/>
        <v>-0.74473092233435256</v>
      </c>
      <c r="I133" s="4" t="e">
        <f t="shared" si="36"/>
        <v>#DIV/0!</v>
      </c>
      <c r="K133">
        <f t="shared" si="28"/>
        <v>516</v>
      </c>
      <c r="L133" s="4">
        <v>4.7628895700656741</v>
      </c>
      <c r="M133" s="4">
        <v>7.3234190029329778</v>
      </c>
    </row>
    <row r="134" spans="1:13" x14ac:dyDescent="0.25">
      <c r="A134">
        <f t="shared" si="29"/>
        <v>520</v>
      </c>
      <c r="B134" s="3">
        <f t="shared" si="30"/>
        <v>130</v>
      </c>
      <c r="C134" s="3">
        <f t="shared" si="31"/>
        <v>-29</v>
      </c>
      <c r="D134" s="4">
        <f t="shared" si="23"/>
        <v>-0.78984033820146193</v>
      </c>
      <c r="E134" s="4" t="e">
        <f t="shared" si="32"/>
        <v>#DIV/0!</v>
      </c>
      <c r="F134" s="4">
        <f t="shared" si="33"/>
        <v>-0.51368388280532129</v>
      </c>
      <c r="G134" s="4" t="e">
        <f t="shared" si="34"/>
        <v>#DIV/0!</v>
      </c>
      <c r="H134" s="4">
        <f t="shared" si="35"/>
        <v>-0.77132845527486515</v>
      </c>
      <c r="I134" s="4" t="e">
        <f t="shared" si="36"/>
        <v>#DIV/0!</v>
      </c>
      <c r="K134">
        <f t="shared" si="28"/>
        <v>520</v>
      </c>
      <c r="L134" s="4">
        <v>4.8794491930815473</v>
      </c>
      <c r="M134" s="4">
        <v>7.502641079282184</v>
      </c>
    </row>
    <row r="135" spans="1:13" x14ac:dyDescent="0.25">
      <c r="A135">
        <f t="shared" si="29"/>
        <v>524</v>
      </c>
      <c r="B135" s="3">
        <f t="shared" si="30"/>
        <v>131</v>
      </c>
      <c r="C135" s="3">
        <f t="shared" si="31"/>
        <v>-30</v>
      </c>
      <c r="D135" s="4">
        <f t="shared" si="23"/>
        <v>-0.81707621193254698</v>
      </c>
      <c r="E135" s="4" t="e">
        <f t="shared" si="32"/>
        <v>#DIV/0!</v>
      </c>
      <c r="F135" s="4">
        <f t="shared" si="33"/>
        <v>-0.53139712014343587</v>
      </c>
      <c r="G135" s="4" t="e">
        <f t="shared" si="34"/>
        <v>#DIV/0!</v>
      </c>
      <c r="H135" s="4">
        <f t="shared" si="35"/>
        <v>-0.79792598821537775</v>
      </c>
      <c r="I135" s="4" t="e">
        <f t="shared" si="36"/>
        <v>#DIV/0!</v>
      </c>
      <c r="K135">
        <f t="shared" si="28"/>
        <v>524</v>
      </c>
      <c r="L135" s="4">
        <v>5.0018367972482141</v>
      </c>
      <c r="M135" s="4">
        <v>7.690824259448851</v>
      </c>
    </row>
    <row r="136" spans="1:13" x14ac:dyDescent="0.25">
      <c r="A136">
        <f t="shared" si="29"/>
        <v>528</v>
      </c>
      <c r="B136" s="3">
        <f t="shared" si="30"/>
        <v>132</v>
      </c>
      <c r="C136" s="3">
        <f t="shared" si="31"/>
        <v>-31</v>
      </c>
      <c r="D136" s="4">
        <f t="shared" si="23"/>
        <v>-0.84431208566363181</v>
      </c>
      <c r="E136" s="4" t="e">
        <f t="shared" si="32"/>
        <v>#DIV/0!</v>
      </c>
      <c r="F136" s="4">
        <f t="shared" si="33"/>
        <v>-0.54911035748155035</v>
      </c>
      <c r="G136" s="4" t="e">
        <f t="shared" si="34"/>
        <v>#DIV/0!</v>
      </c>
      <c r="H136" s="4">
        <f t="shared" si="35"/>
        <v>-0.82452352115589034</v>
      </c>
      <c r="I136" s="4" t="e">
        <f t="shared" si="36"/>
        <v>#DIV/0!</v>
      </c>
      <c r="K136">
        <f t="shared" si="28"/>
        <v>528</v>
      </c>
      <c r="L136" s="4">
        <v>5.1306658542657582</v>
      </c>
      <c r="M136" s="4">
        <v>7.888911817519026</v>
      </c>
    </row>
    <row r="137" spans="1:13" x14ac:dyDescent="0.25">
      <c r="A137">
        <f t="shared" si="29"/>
        <v>532</v>
      </c>
      <c r="B137" s="3">
        <f t="shared" si="30"/>
        <v>133</v>
      </c>
      <c r="C137" s="3">
        <f t="shared" si="31"/>
        <v>-32</v>
      </c>
      <c r="D137" s="4">
        <f t="shared" si="23"/>
        <v>-0.87154795939471663</v>
      </c>
      <c r="E137" s="4" t="e">
        <f t="shared" si="32"/>
        <v>#DIV/0!</v>
      </c>
      <c r="F137" s="4">
        <f t="shared" si="33"/>
        <v>-0.56682359481966482</v>
      </c>
      <c r="G137" s="4" t="e">
        <f t="shared" si="34"/>
        <v>#DIV/0!</v>
      </c>
      <c r="H137" s="4">
        <f t="shared" si="35"/>
        <v>-0.85112105409640304</v>
      </c>
      <c r="I137" s="4" t="e">
        <f t="shared" si="36"/>
        <v>#DIV/0!</v>
      </c>
      <c r="K137">
        <f t="shared" si="28"/>
        <v>532</v>
      </c>
      <c r="L137" s="4">
        <v>5.2666520811176101</v>
      </c>
      <c r="M137" s="4">
        <v>8.0980042399264338</v>
      </c>
    </row>
    <row r="138" spans="1:13" x14ac:dyDescent="0.25">
      <c r="A138">
        <f t="shared" si="29"/>
        <v>536</v>
      </c>
      <c r="B138" s="3">
        <f t="shared" si="30"/>
        <v>134</v>
      </c>
      <c r="C138" s="3">
        <f t="shared" si="31"/>
        <v>-33</v>
      </c>
      <c r="D138" s="4">
        <f t="shared" si="23"/>
        <v>-0.89878383312580146</v>
      </c>
      <c r="E138" s="4" t="e">
        <f t="shared" si="32"/>
        <v>#DIV/0!</v>
      </c>
      <c r="F138" s="4">
        <f t="shared" si="33"/>
        <v>-0.5845368321577793</v>
      </c>
      <c r="G138" s="4" t="e">
        <f t="shared" si="34"/>
        <v>#DIV/0!</v>
      </c>
      <c r="H138" s="4">
        <f t="shared" si="35"/>
        <v>-0.87771858703691563</v>
      </c>
      <c r="I138" s="4" t="e">
        <f t="shared" si="36"/>
        <v>#DIV/0!</v>
      </c>
      <c r="K138">
        <f t="shared" si="28"/>
        <v>536</v>
      </c>
      <c r="L138" s="4">
        <v>5.4106374977842764</v>
      </c>
      <c r="M138" s="4">
        <v>8.3193962165931001</v>
      </c>
    </row>
    <row r="139" spans="1:13" x14ac:dyDescent="0.25">
      <c r="A139">
        <f t="shared" si="29"/>
        <v>540</v>
      </c>
      <c r="B139" s="3">
        <f t="shared" si="30"/>
        <v>135</v>
      </c>
      <c r="C139" s="3">
        <f t="shared" si="31"/>
        <v>-34</v>
      </c>
      <c r="D139" s="4">
        <f t="shared" si="23"/>
        <v>-0.92601970685688639</v>
      </c>
      <c r="E139" s="4" t="e">
        <f t="shared" si="32"/>
        <v>#DIV/0!</v>
      </c>
      <c r="F139" s="4">
        <f t="shared" si="33"/>
        <v>-0.60225006949589388</v>
      </c>
      <c r="G139" s="4" t="e">
        <f t="shared" si="34"/>
        <v>#DIV/0!</v>
      </c>
      <c r="H139" s="4">
        <f t="shared" si="35"/>
        <v>-0.90431611997742822</v>
      </c>
      <c r="I139" s="4" t="e">
        <f t="shared" si="36"/>
        <v>#DIV/0!</v>
      </c>
      <c r="K139">
        <f t="shared" si="28"/>
        <v>540</v>
      </c>
      <c r="L139" s="4">
        <v>5.5636220029926093</v>
      </c>
      <c r="M139" s="4">
        <v>8.5546251918014331</v>
      </c>
    </row>
    <row r="140" spans="1:13" x14ac:dyDescent="0.25">
      <c r="A140">
        <f t="shared" si="29"/>
        <v>544</v>
      </c>
      <c r="B140" s="3">
        <f t="shared" si="30"/>
        <v>136</v>
      </c>
      <c r="C140" s="3">
        <f t="shared" si="31"/>
        <v>-35</v>
      </c>
      <c r="D140" s="4">
        <f t="shared" si="23"/>
        <v>-0.95325558058797133</v>
      </c>
      <c r="E140" s="4" t="e">
        <f t="shared" si="32"/>
        <v>#DIV/0!</v>
      </c>
      <c r="F140" s="4">
        <f t="shared" si="33"/>
        <v>-0.61996330683400835</v>
      </c>
      <c r="G140" s="4" t="e">
        <f t="shared" si="34"/>
        <v>#DIV/0!</v>
      </c>
      <c r="H140" s="4">
        <f t="shared" si="35"/>
        <v>-0.93091365291794081</v>
      </c>
      <c r="I140" s="4" t="e">
        <f t="shared" si="36"/>
        <v>#DIV/0!</v>
      </c>
      <c r="K140">
        <f t="shared" si="28"/>
        <v>544</v>
      </c>
      <c r="L140" s="4">
        <v>5.7268054752148316</v>
      </c>
      <c r="M140" s="4">
        <v>8.8055360986903217</v>
      </c>
    </row>
    <row r="141" spans="1:13" x14ac:dyDescent="0.25">
      <c r="A141">
        <f t="shared" si="29"/>
        <v>548</v>
      </c>
      <c r="B141" s="3">
        <f t="shared" si="30"/>
        <v>137</v>
      </c>
      <c r="C141" s="3">
        <f t="shared" si="31"/>
        <v>-36</v>
      </c>
      <c r="D141" s="4">
        <f t="shared" si="23"/>
        <v>-0.98049145431905627</v>
      </c>
      <c r="E141" s="4" t="e">
        <f t="shared" si="32"/>
        <v>#DIV/0!</v>
      </c>
      <c r="F141" s="4">
        <f t="shared" si="33"/>
        <v>-0.63767654417212294</v>
      </c>
      <c r="G141" s="4" t="e">
        <f t="shared" si="34"/>
        <v>#DIV/0!</v>
      </c>
      <c r="H141" s="4">
        <f t="shared" si="35"/>
        <v>-0.95751118585845341</v>
      </c>
      <c r="I141" s="4" t="e">
        <f t="shared" si="36"/>
        <v>#DIV/0!</v>
      </c>
      <c r="K141">
        <f t="shared" si="28"/>
        <v>548</v>
      </c>
      <c r="L141" s="4">
        <v>5.901644909738641</v>
      </c>
      <c r="M141" s="4">
        <v>9.0743692132141316</v>
      </c>
    </row>
    <row r="142" spans="1:13" x14ac:dyDescent="0.25">
      <c r="A142">
        <f t="shared" si="29"/>
        <v>552</v>
      </c>
      <c r="B142" s="3">
        <f t="shared" si="30"/>
        <v>138</v>
      </c>
      <c r="C142" s="3">
        <f t="shared" si="31"/>
        <v>-37</v>
      </c>
      <c r="D142" s="4">
        <f t="shared" si="23"/>
        <v>-1.0077273280501413</v>
      </c>
      <c r="E142" s="4" t="e">
        <f t="shared" si="32"/>
        <v>#DIV/0!</v>
      </c>
      <c r="F142" s="4">
        <f t="shared" si="33"/>
        <v>-0.65538978151023752</v>
      </c>
      <c r="G142" s="4" t="e">
        <f t="shared" si="34"/>
        <v>#DIV/0!</v>
      </c>
      <c r="H142" s="4">
        <f t="shared" si="35"/>
        <v>-0.984108718798966</v>
      </c>
      <c r="I142" s="4" t="e">
        <f t="shared" si="36"/>
        <v>#DIV/0!</v>
      </c>
      <c r="K142">
        <f t="shared" si="28"/>
        <v>552</v>
      </c>
      <c r="L142" s="4">
        <v>6.0899335315335126</v>
      </c>
      <c r="M142" s="4">
        <v>9.3638817980859272</v>
      </c>
    </row>
    <row r="143" spans="1:13" x14ac:dyDescent="0.25">
      <c r="A143">
        <f t="shared" si="29"/>
        <v>556</v>
      </c>
      <c r="B143" s="3">
        <f t="shared" si="30"/>
        <v>139</v>
      </c>
      <c r="C143" s="3">
        <f t="shared" si="31"/>
        <v>-38</v>
      </c>
      <c r="D143" s="4">
        <f t="shared" si="23"/>
        <v>-1.034963201781226</v>
      </c>
      <c r="E143" s="4" t="e">
        <f t="shared" si="32"/>
        <v>#DIV/0!</v>
      </c>
      <c r="F143" s="4">
        <f t="shared" si="33"/>
        <v>-0.673103018848352</v>
      </c>
      <c r="G143" s="4" t="e">
        <f t="shared" si="34"/>
        <v>#DIV/0!</v>
      </c>
      <c r="H143" s="4">
        <f t="shared" si="35"/>
        <v>-1.0107062517394785</v>
      </c>
      <c r="I143" s="4" t="e">
        <f t="shared" si="36"/>
        <v>#DIV/0!</v>
      </c>
      <c r="K143">
        <f t="shared" si="28"/>
        <v>556</v>
      </c>
      <c r="L143" s="4">
        <v>6.2939128718112904</v>
      </c>
      <c r="M143" s="4">
        <v>9.6775204316970385</v>
      </c>
    </row>
    <row r="144" spans="1:13" x14ac:dyDescent="0.25">
      <c r="A144">
        <f t="shared" si="29"/>
        <v>560</v>
      </c>
      <c r="B144" s="3">
        <f t="shared" si="30"/>
        <v>140</v>
      </c>
      <c r="C144" s="3">
        <f t="shared" si="31"/>
        <v>-39</v>
      </c>
      <c r="D144" s="4">
        <f t="shared" si="23"/>
        <v>-1.062199075512311</v>
      </c>
      <c r="E144" s="4" t="e">
        <f t="shared" si="32"/>
        <v>#DIV/0!</v>
      </c>
      <c r="F144" s="4">
        <f t="shared" si="33"/>
        <v>-0.69081625618646658</v>
      </c>
      <c r="G144" s="4" t="e">
        <f t="shared" si="34"/>
        <v>#DIV/0!</v>
      </c>
      <c r="H144" s="4">
        <f t="shared" si="35"/>
        <v>-1.0373037846799911</v>
      </c>
      <c r="I144" s="4" t="e">
        <f t="shared" si="36"/>
        <v>#DIV/0!</v>
      </c>
      <c r="K144">
        <f t="shared" si="28"/>
        <v>560</v>
      </c>
      <c r="L144" s="4">
        <v>6.5164357884779571</v>
      </c>
      <c r="M144" s="4">
        <v>10.019671668363705</v>
      </c>
    </row>
    <row r="145" spans="1:13" x14ac:dyDescent="0.25">
      <c r="A145">
        <f t="shared" si="29"/>
        <v>564</v>
      </c>
      <c r="B145" s="3">
        <f t="shared" si="30"/>
        <v>141</v>
      </c>
      <c r="C145" s="3">
        <f t="shared" si="31"/>
        <v>-40</v>
      </c>
      <c r="D145" s="4">
        <f t="shared" si="23"/>
        <v>-1.0894349492433959</v>
      </c>
      <c r="E145" s="4" t="e">
        <f t="shared" si="32"/>
        <v>#DIV/0!</v>
      </c>
      <c r="F145" s="4">
        <f t="shared" si="33"/>
        <v>-0.70852949352458106</v>
      </c>
      <c r="G145" s="4" t="e">
        <f t="shared" si="34"/>
        <v>#DIV/0!</v>
      </c>
      <c r="H145" s="4">
        <f t="shared" si="35"/>
        <v>-1.0639013176205037</v>
      </c>
      <c r="I145" s="4" t="e">
        <f t="shared" si="36"/>
        <v>#DIV/0!</v>
      </c>
      <c r="K145">
        <f t="shared" si="28"/>
        <v>564</v>
      </c>
      <c r="L145" s="4">
        <v>6.7612109968112906</v>
      </c>
      <c r="M145" s="4">
        <v>10.396038028697038</v>
      </c>
    </row>
    <row r="146" spans="1:13" x14ac:dyDescent="0.25">
      <c r="A146">
        <f t="shared" si="29"/>
        <v>568</v>
      </c>
      <c r="B146" s="3">
        <f t="shared" si="30"/>
        <v>142</v>
      </c>
      <c r="C146" s="3">
        <f t="shared" si="31"/>
        <v>-41</v>
      </c>
      <c r="D146" s="4">
        <f t="shared" si="23"/>
        <v>-1.1166708229744808</v>
      </c>
      <c r="E146" s="4" t="e">
        <f t="shared" si="32"/>
        <v>#DIV/0!</v>
      </c>
      <c r="F146" s="4">
        <f t="shared" si="33"/>
        <v>-0.72624273086269553</v>
      </c>
      <c r="G146" s="4" t="e">
        <f t="shared" si="34"/>
        <v>#DIV/0!</v>
      </c>
      <c r="H146" s="4">
        <f t="shared" si="35"/>
        <v>-1.0904988505610163</v>
      </c>
      <c r="I146" s="4" t="e">
        <f t="shared" si="36"/>
        <v>#DIV/0!</v>
      </c>
      <c r="K146">
        <f t="shared" si="28"/>
        <v>568</v>
      </c>
      <c r="L146" s="4">
        <v>7.0331834505149944</v>
      </c>
      <c r="M146" s="4">
        <v>10.814222873511854</v>
      </c>
    </row>
    <row r="147" spans="1:13" x14ac:dyDescent="0.25">
      <c r="A147">
        <f t="shared" si="29"/>
        <v>572</v>
      </c>
      <c r="B147" s="3">
        <f t="shared" si="30"/>
        <v>143</v>
      </c>
      <c r="C147" s="3">
        <f t="shared" si="31"/>
        <v>-42</v>
      </c>
      <c r="D147" s="4">
        <f t="shared" si="23"/>
        <v>-1.1439066967055656</v>
      </c>
      <c r="E147" s="4" t="e">
        <f t="shared" si="32"/>
        <v>#DIV/0!</v>
      </c>
      <c r="F147" s="4">
        <f t="shared" si="33"/>
        <v>-0.74395596820081011</v>
      </c>
      <c r="G147" s="4" t="e">
        <f t="shared" si="34"/>
        <v>#DIV/0!</v>
      </c>
      <c r="H147" s="4">
        <f t="shared" si="35"/>
        <v>-1.1170963835015288</v>
      </c>
      <c r="I147" s="4" t="e">
        <f t="shared" si="36"/>
        <v>#DIV/0!</v>
      </c>
      <c r="K147">
        <f t="shared" si="28"/>
        <v>572</v>
      </c>
      <c r="L147" s="4">
        <v>7.3391524609316612</v>
      </c>
      <c r="M147" s="4">
        <v>11.28468082392852</v>
      </c>
    </row>
    <row r="148" spans="1:13" x14ac:dyDescent="0.25">
      <c r="A148">
        <f t="shared" si="29"/>
        <v>576</v>
      </c>
      <c r="B148" s="3">
        <f t="shared" si="30"/>
        <v>144</v>
      </c>
      <c r="C148" s="3">
        <f t="shared" si="31"/>
        <v>-43</v>
      </c>
      <c r="D148" s="4">
        <f t="shared" si="23"/>
        <v>-1.1711425704366505</v>
      </c>
      <c r="E148" s="4" t="e">
        <f t="shared" si="32"/>
        <v>#DIV/0!</v>
      </c>
      <c r="F148" s="4">
        <f t="shared" si="33"/>
        <v>-0.7616692055389247</v>
      </c>
      <c r="G148" s="4" t="e">
        <f t="shared" si="34"/>
        <v>#DIV/0!</v>
      </c>
      <c r="H148" s="4">
        <f t="shared" si="35"/>
        <v>-1.1436939164420417</v>
      </c>
      <c r="I148" s="4" t="e">
        <f t="shared" si="36"/>
        <v>#DIV/0!</v>
      </c>
      <c r="K148">
        <f t="shared" si="28"/>
        <v>576</v>
      </c>
      <c r="L148" s="4">
        <v>7.6888313299792799</v>
      </c>
      <c r="M148" s="4">
        <v>11.82234705297614</v>
      </c>
    </row>
    <row r="149" spans="1:13" x14ac:dyDescent="0.25">
      <c r="A149">
        <f t="shared" si="29"/>
        <v>580</v>
      </c>
      <c r="B149" s="3">
        <f t="shared" si="30"/>
        <v>145</v>
      </c>
      <c r="C149" s="3">
        <f t="shared" si="31"/>
        <v>-44</v>
      </c>
      <c r="D149" s="4">
        <f t="shared" si="23"/>
        <v>-1.1983784441677354</v>
      </c>
      <c r="E149" s="4" t="e">
        <f t="shared" si="32"/>
        <v>#DIV/0!</v>
      </c>
      <c r="F149" s="4">
        <f t="shared" si="33"/>
        <v>-0.77938244287703917</v>
      </c>
      <c r="G149" s="4" t="e">
        <f t="shared" si="34"/>
        <v>#DIV/0!</v>
      </c>
      <c r="H149" s="4">
        <f t="shared" si="35"/>
        <v>-1.170291449382554</v>
      </c>
      <c r="I149" s="4" t="e">
        <f t="shared" si="36"/>
        <v>#DIV/0!</v>
      </c>
      <c r="K149">
        <f t="shared" si="28"/>
        <v>580</v>
      </c>
      <c r="L149" s="4">
        <v>8.0967900105348356</v>
      </c>
      <c r="M149" s="4">
        <v>12.449624320198362</v>
      </c>
    </row>
    <row r="150" spans="1:13" x14ac:dyDescent="0.25">
      <c r="A150">
        <f t="shared" si="29"/>
        <v>584</v>
      </c>
      <c r="B150" s="3">
        <f t="shared" si="30"/>
        <v>146</v>
      </c>
      <c r="C150" s="3">
        <f t="shared" si="31"/>
        <v>-45</v>
      </c>
      <c r="D150" s="4">
        <f t="shared" si="23"/>
        <v>-1.2256143178988204</v>
      </c>
      <c r="E150" s="4" t="e">
        <f t="shared" si="32"/>
        <v>#DIV/0!</v>
      </c>
      <c r="F150" s="4">
        <f t="shared" si="33"/>
        <v>-0.79709568021515376</v>
      </c>
      <c r="G150" s="4" t="e">
        <f t="shared" si="34"/>
        <v>#DIV/0!</v>
      </c>
      <c r="H150" s="4">
        <f t="shared" si="35"/>
        <v>-1.1968889823230666</v>
      </c>
      <c r="I150" s="4" t="e">
        <f t="shared" si="36"/>
        <v>#DIV/0!</v>
      </c>
      <c r="K150">
        <f t="shared" si="28"/>
        <v>584</v>
      </c>
      <c r="L150" s="4">
        <v>8.5863404272015025</v>
      </c>
      <c r="M150" s="4">
        <v>13.202357040865028</v>
      </c>
    </row>
    <row r="151" spans="1:13" x14ac:dyDescent="0.25">
      <c r="A151">
        <f t="shared" si="29"/>
        <v>588</v>
      </c>
      <c r="B151" s="3">
        <f t="shared" si="30"/>
        <v>147</v>
      </c>
      <c r="C151" s="3">
        <f t="shared" si="31"/>
        <v>-46</v>
      </c>
      <c r="D151" s="4">
        <f t="shared" si="23"/>
        <v>-1.2528501916299053</v>
      </c>
      <c r="E151" s="4" t="e">
        <f t="shared" si="32"/>
        <v>#DIV/0!</v>
      </c>
      <c r="F151" s="4">
        <f t="shared" si="33"/>
        <v>-0.81480891755326823</v>
      </c>
      <c r="G151" s="4" t="e">
        <f t="shared" si="34"/>
        <v>#DIV/0!</v>
      </c>
      <c r="H151" s="4">
        <f t="shared" si="35"/>
        <v>-1.2234865152635792</v>
      </c>
      <c r="I151" s="4" t="e">
        <f t="shared" si="36"/>
        <v>#DIV/0!</v>
      </c>
      <c r="K151">
        <f t="shared" si="28"/>
        <v>588</v>
      </c>
      <c r="L151" s="4">
        <v>9.1982784480348361</v>
      </c>
      <c r="M151" s="4">
        <v>14.143272941698362</v>
      </c>
    </row>
    <row r="152" spans="1:13" x14ac:dyDescent="0.25">
      <c r="A152">
        <f t="shared" si="29"/>
        <v>592</v>
      </c>
      <c r="B152" s="3">
        <f t="shared" si="30"/>
        <v>148</v>
      </c>
      <c r="C152" s="3">
        <f t="shared" si="31"/>
        <v>-47</v>
      </c>
      <c r="D152" s="4">
        <f t="shared" si="23"/>
        <v>-1.2800860653609902</v>
      </c>
      <c r="E152" s="4" t="e">
        <f t="shared" si="32"/>
        <v>#DIV/0!</v>
      </c>
      <c r="F152" s="4">
        <f t="shared" si="33"/>
        <v>-0.83252215489138282</v>
      </c>
      <c r="G152" s="4" t="e">
        <f t="shared" si="34"/>
        <v>#DIV/0!</v>
      </c>
      <c r="H152" s="4">
        <f t="shared" si="35"/>
        <v>-1.2500840482040918</v>
      </c>
      <c r="I152" s="4" t="e">
        <f t="shared" si="36"/>
        <v>#DIV/0!</v>
      </c>
      <c r="K152">
        <f t="shared" si="28"/>
        <v>592</v>
      </c>
      <c r="L152" s="4">
        <v>10.014195809145948</v>
      </c>
      <c r="M152" s="4">
        <v>15.397827476142806</v>
      </c>
    </row>
    <row r="153" spans="1:13" x14ac:dyDescent="0.25">
      <c r="A153">
        <f t="shared" si="29"/>
        <v>596</v>
      </c>
      <c r="B153" s="3">
        <f t="shared" si="30"/>
        <v>149</v>
      </c>
      <c r="C153" s="3">
        <f t="shared" si="31"/>
        <v>-48</v>
      </c>
      <c r="D153" s="4">
        <f t="shared" si="23"/>
        <v>-1.3073219390920749</v>
      </c>
      <c r="E153" s="4" t="e">
        <f t="shared" si="32"/>
        <v>#DIV/0!</v>
      </c>
      <c r="F153" s="4">
        <f t="shared" si="33"/>
        <v>-0.85023539222949729</v>
      </c>
      <c r="G153" s="4" t="e">
        <f t="shared" si="34"/>
        <v>#DIV/0!</v>
      </c>
      <c r="H153" s="4">
        <f t="shared" si="35"/>
        <v>-1.2766815811446046</v>
      </c>
      <c r="I153" s="4" t="e">
        <f t="shared" si="36"/>
        <v>#DIV/0!</v>
      </c>
      <c r="K153">
        <f t="shared" si="28"/>
        <v>596</v>
      </c>
      <c r="L153" s="4">
        <v>11.238071850812615</v>
      </c>
      <c r="M153" s="4">
        <v>17.279659277809472</v>
      </c>
    </row>
    <row r="154" spans="1:13" x14ac:dyDescent="0.25">
      <c r="A154">
        <f t="shared" si="29"/>
        <v>600</v>
      </c>
      <c r="B154" s="3">
        <f t="shared" si="30"/>
        <v>150</v>
      </c>
      <c r="C154" s="3">
        <f t="shared" si="31"/>
        <v>-49</v>
      </c>
      <c r="D154" s="4">
        <f t="shared" si="23"/>
        <v>-1.3345578128231601</v>
      </c>
      <c r="E154" s="4" t="e">
        <f t="shared" si="32"/>
        <v>#DIV/0!</v>
      </c>
      <c r="F154" s="4">
        <f t="shared" si="33"/>
        <v>-0.86794862956761187</v>
      </c>
      <c r="G154" s="4" t="e">
        <f t="shared" si="34"/>
        <v>#DIV/0!</v>
      </c>
      <c r="H154" s="4">
        <f t="shared" si="35"/>
        <v>-1.303279114085117</v>
      </c>
      <c r="I154" s="4" t="e">
        <f t="shared" si="36"/>
        <v>#DIV/0!</v>
      </c>
      <c r="K154">
        <f t="shared" si="28"/>
        <v>600</v>
      </c>
      <c r="L154" s="4">
        <v>13.685823934145947</v>
      </c>
      <c r="M154" s="4">
        <v>21.043322881142807</v>
      </c>
    </row>
    <row r="155" spans="1:13" x14ac:dyDescent="0.25">
      <c r="A155">
        <f t="shared" si="29"/>
        <v>604</v>
      </c>
      <c r="B155" s="3">
        <f t="shared" si="30"/>
        <v>151</v>
      </c>
      <c r="C155" s="3">
        <f t="shared" si="31"/>
        <v>-50</v>
      </c>
      <c r="D155" s="4">
        <f t="shared" si="23"/>
        <v>-1.3617936865542446</v>
      </c>
      <c r="E155" s="4" t="e">
        <f t="shared" si="32"/>
        <v>#DIV/0!</v>
      </c>
      <c r="F155" s="4">
        <f t="shared" si="33"/>
        <v>-0.88566186690572624</v>
      </c>
      <c r="G155" s="4" t="e">
        <f t="shared" si="34"/>
        <v>#DIV/0!</v>
      </c>
      <c r="H155" s="4">
        <f t="shared" si="35"/>
        <v>-1.3298766470256298</v>
      </c>
      <c r="I155" s="4" t="e">
        <f t="shared" si="36"/>
        <v>#DIV/0!</v>
      </c>
    </row>
    <row r="156" spans="1:13" x14ac:dyDescent="0.25">
      <c r="A156">
        <f t="shared" si="29"/>
        <v>608</v>
      </c>
      <c r="B156" s="3">
        <f t="shared" si="30"/>
        <v>152</v>
      </c>
      <c r="C156" s="3">
        <f t="shared" si="31"/>
        <v>-51</v>
      </c>
      <c r="D156" s="4">
        <f t="shared" si="23"/>
        <v>-1.3890295602853298</v>
      </c>
      <c r="E156" s="4" t="e">
        <f t="shared" si="32"/>
        <v>#DIV/0!</v>
      </c>
      <c r="F156" s="4">
        <f t="shared" si="33"/>
        <v>-0.90337510424384082</v>
      </c>
      <c r="G156" s="4" t="e">
        <f t="shared" si="34"/>
        <v>#DIV/0!</v>
      </c>
      <c r="H156" s="4">
        <f t="shared" si="35"/>
        <v>-1.3564741799661422</v>
      </c>
      <c r="I156" s="4" t="e">
        <f t="shared" si="36"/>
        <v>#DIV/0!</v>
      </c>
    </row>
    <row r="157" spans="1:13" x14ac:dyDescent="0.25">
      <c r="A157">
        <f t="shared" si="29"/>
        <v>612</v>
      </c>
      <c r="B157" s="3">
        <f t="shared" si="30"/>
        <v>153</v>
      </c>
      <c r="C157" s="3">
        <f t="shared" si="31"/>
        <v>-52</v>
      </c>
      <c r="D157" s="4">
        <f t="shared" si="23"/>
        <v>-1.4162654340164145</v>
      </c>
      <c r="E157" s="4" t="e">
        <f t="shared" si="32"/>
        <v>#DIV/0!</v>
      </c>
      <c r="F157" s="4">
        <f t="shared" si="33"/>
        <v>-0.92108834158195529</v>
      </c>
      <c r="G157" s="4" t="e">
        <f t="shared" si="34"/>
        <v>#DIV/0!</v>
      </c>
      <c r="H157" s="4">
        <f t="shared" si="35"/>
        <v>-1.383071712906655</v>
      </c>
      <c r="I157" s="4" t="e">
        <f t="shared" si="36"/>
        <v>#DIV/0!</v>
      </c>
    </row>
    <row r="158" spans="1:13" x14ac:dyDescent="0.25">
      <c r="A158">
        <f t="shared" si="29"/>
        <v>616</v>
      </c>
      <c r="B158" s="3">
        <f t="shared" si="30"/>
        <v>154</v>
      </c>
      <c r="C158" s="3">
        <f t="shared" si="31"/>
        <v>-53</v>
      </c>
      <c r="D158" s="4">
        <f t="shared" ref="D158:D221" si="37">C158/7.48/3600/((0.25/12)^2*3.1415)</f>
        <v>-1.4435013077474994</v>
      </c>
      <c r="E158" s="4" t="e">
        <f t="shared" si="32"/>
        <v>#DIV/0!</v>
      </c>
      <c r="F158" s="4">
        <f t="shared" si="33"/>
        <v>-0.93880157892006988</v>
      </c>
      <c r="G158" s="4" t="e">
        <f t="shared" si="34"/>
        <v>#DIV/0!</v>
      </c>
      <c r="H158" s="4">
        <f t="shared" si="35"/>
        <v>-1.4096692458471674</v>
      </c>
      <c r="I158" s="4" t="e">
        <f t="shared" si="36"/>
        <v>#DIV/0!</v>
      </c>
    </row>
    <row r="159" spans="1:13" x14ac:dyDescent="0.25">
      <c r="A159">
        <f t="shared" si="29"/>
        <v>620</v>
      </c>
      <c r="B159" s="3">
        <f t="shared" si="30"/>
        <v>155</v>
      </c>
      <c r="C159" s="3">
        <f t="shared" si="31"/>
        <v>-54</v>
      </c>
      <c r="D159" s="4">
        <f t="shared" si="37"/>
        <v>-1.4707371814785843</v>
      </c>
      <c r="E159" s="4" t="e">
        <f t="shared" si="32"/>
        <v>#DIV/0!</v>
      </c>
      <c r="F159" s="4">
        <f t="shared" si="33"/>
        <v>-0.95651481625818435</v>
      </c>
      <c r="G159" s="4" t="e">
        <f t="shared" si="34"/>
        <v>#DIV/0!</v>
      </c>
      <c r="H159" s="4">
        <f t="shared" si="35"/>
        <v>-1.4362667787876802</v>
      </c>
      <c r="I159" s="4" t="e">
        <f t="shared" si="36"/>
        <v>#DIV/0!</v>
      </c>
    </row>
    <row r="160" spans="1:13" x14ac:dyDescent="0.25">
      <c r="A160">
        <f t="shared" si="29"/>
        <v>624</v>
      </c>
      <c r="B160" s="3">
        <f t="shared" si="30"/>
        <v>156</v>
      </c>
      <c r="C160" s="3">
        <f t="shared" si="31"/>
        <v>-55</v>
      </c>
      <c r="D160" s="4">
        <f t="shared" si="37"/>
        <v>-1.4979730552096691</v>
      </c>
      <c r="E160" s="4" t="e">
        <f t="shared" si="32"/>
        <v>#DIV/0!</v>
      </c>
      <c r="F160" s="4">
        <f t="shared" si="33"/>
        <v>-0.97422805359629883</v>
      </c>
      <c r="G160" s="4" t="e">
        <f t="shared" si="34"/>
        <v>#DIV/0!</v>
      </c>
      <c r="H160" s="4">
        <f t="shared" si="35"/>
        <v>-1.4628643117281928</v>
      </c>
      <c r="I160" s="4" t="e">
        <f t="shared" si="36"/>
        <v>#DIV/0!</v>
      </c>
    </row>
    <row r="161" spans="1:9" x14ac:dyDescent="0.25">
      <c r="A161">
        <f t="shared" si="29"/>
        <v>628</v>
      </c>
      <c r="B161" s="3">
        <f t="shared" si="30"/>
        <v>157</v>
      </c>
      <c r="C161" s="3">
        <f t="shared" si="31"/>
        <v>-56</v>
      </c>
      <c r="D161" s="4">
        <f t="shared" si="37"/>
        <v>-1.5252089289407542</v>
      </c>
      <c r="E161" s="4" t="e">
        <f t="shared" si="32"/>
        <v>#DIV/0!</v>
      </c>
      <c r="F161" s="4">
        <f t="shared" si="33"/>
        <v>-0.99194129093441352</v>
      </c>
      <c r="G161" s="4" t="e">
        <f t="shared" si="34"/>
        <v>#DIV/0!</v>
      </c>
      <c r="H161" s="4">
        <f t="shared" si="35"/>
        <v>-1.4894618446687051</v>
      </c>
      <c r="I161" s="4" t="e">
        <f t="shared" si="36"/>
        <v>#DIV/0!</v>
      </c>
    </row>
    <row r="162" spans="1:9" x14ac:dyDescent="0.25">
      <c r="A162">
        <f t="shared" si="29"/>
        <v>632</v>
      </c>
      <c r="B162" s="3">
        <f t="shared" si="30"/>
        <v>158</v>
      </c>
      <c r="C162" s="3">
        <f t="shared" si="31"/>
        <v>-57</v>
      </c>
      <c r="D162" s="4">
        <f t="shared" si="37"/>
        <v>-1.5524448026718392</v>
      </c>
      <c r="E162" s="4" t="e">
        <f t="shared" si="32"/>
        <v>#DIV/0!</v>
      </c>
      <c r="F162" s="4">
        <f t="shared" si="33"/>
        <v>-1.009654528272528</v>
      </c>
      <c r="G162" s="4" t="e">
        <f t="shared" si="34"/>
        <v>#DIV/0!</v>
      </c>
      <c r="H162" s="4">
        <f t="shared" si="35"/>
        <v>-1.5160593776092179</v>
      </c>
      <c r="I162" s="4" t="e">
        <f t="shared" si="36"/>
        <v>#DIV/0!</v>
      </c>
    </row>
    <row r="163" spans="1:9" x14ac:dyDescent="0.25">
      <c r="A163">
        <f t="shared" ref="A163:A226" si="38">A162+4</f>
        <v>636</v>
      </c>
      <c r="B163" s="3">
        <f t="shared" ref="B163:B226" si="39">B162+1</f>
        <v>159</v>
      </c>
      <c r="C163" s="3">
        <f t="shared" ref="C163:C226" si="40">C162-1</f>
        <v>-58</v>
      </c>
      <c r="D163" s="4">
        <f t="shared" si="37"/>
        <v>-1.5796806764029239</v>
      </c>
      <c r="E163" s="4" t="e">
        <f t="shared" ref="E163:E226" si="41">4/D163/60+E162</f>
        <v>#DIV/0!</v>
      </c>
      <c r="F163" s="4">
        <f t="shared" ref="F163:F226" si="42">C163/7.48/3600/((0.31/12)^2*3.1415)</f>
        <v>-1.0273677656106426</v>
      </c>
      <c r="G163" s="4" t="e">
        <f t="shared" ref="G163:G226" si="43">4/F163/60+G162</f>
        <v>#DIV/0!</v>
      </c>
      <c r="H163" s="4">
        <f t="shared" ref="H163:H226" si="44">C163*2.5/7.48/3600/((0.4/12)^2*3.1415)</f>
        <v>-1.5426569105497303</v>
      </c>
      <c r="I163" s="4" t="e">
        <f t="shared" ref="I163:I226" si="45">4/H163/60+I162</f>
        <v>#DIV/0!</v>
      </c>
    </row>
    <row r="164" spans="1:9" x14ac:dyDescent="0.25">
      <c r="A164">
        <f t="shared" si="38"/>
        <v>640</v>
      </c>
      <c r="B164" s="3">
        <f t="shared" si="39"/>
        <v>160</v>
      </c>
      <c r="C164" s="3">
        <f t="shared" si="40"/>
        <v>-59</v>
      </c>
      <c r="D164" s="4">
        <f t="shared" si="37"/>
        <v>-1.6069165501340088</v>
      </c>
      <c r="E164" s="4" t="e">
        <f t="shared" si="41"/>
        <v>#DIV/0!</v>
      </c>
      <c r="F164" s="4">
        <f t="shared" si="42"/>
        <v>-1.0450810029487569</v>
      </c>
      <c r="G164" s="4" t="e">
        <f t="shared" si="43"/>
        <v>#DIV/0!</v>
      </c>
      <c r="H164" s="4">
        <f t="shared" si="44"/>
        <v>-1.5692544434902431</v>
      </c>
      <c r="I164" s="4" t="e">
        <f t="shared" si="45"/>
        <v>#DIV/0!</v>
      </c>
    </row>
    <row r="165" spans="1:9" x14ac:dyDescent="0.25">
      <c r="A165">
        <f t="shared" si="38"/>
        <v>644</v>
      </c>
      <c r="B165" s="3">
        <f t="shared" si="39"/>
        <v>161</v>
      </c>
      <c r="C165" s="3">
        <f t="shared" si="40"/>
        <v>-60</v>
      </c>
      <c r="D165" s="4">
        <f t="shared" si="37"/>
        <v>-1.634152423865094</v>
      </c>
      <c r="E165" s="4" t="e">
        <f t="shared" si="41"/>
        <v>#DIV/0!</v>
      </c>
      <c r="F165" s="4">
        <f t="shared" si="42"/>
        <v>-1.0627942402868717</v>
      </c>
      <c r="G165" s="4" t="e">
        <f t="shared" si="43"/>
        <v>#DIV/0!</v>
      </c>
      <c r="H165" s="4">
        <f t="shared" si="44"/>
        <v>-1.5958519764307555</v>
      </c>
      <c r="I165" s="4" t="e">
        <f t="shared" si="45"/>
        <v>#DIV/0!</v>
      </c>
    </row>
    <row r="166" spans="1:9" x14ac:dyDescent="0.25">
      <c r="A166">
        <f t="shared" si="38"/>
        <v>648</v>
      </c>
      <c r="B166" s="3">
        <f t="shared" si="39"/>
        <v>162</v>
      </c>
      <c r="C166" s="3">
        <f t="shared" si="40"/>
        <v>-61</v>
      </c>
      <c r="D166" s="4">
        <f t="shared" si="37"/>
        <v>-1.6613882975961787</v>
      </c>
      <c r="E166" s="4" t="e">
        <f t="shared" si="41"/>
        <v>#DIV/0!</v>
      </c>
      <c r="F166" s="4">
        <f t="shared" si="42"/>
        <v>-1.0805074776249861</v>
      </c>
      <c r="G166" s="4" t="e">
        <f t="shared" si="43"/>
        <v>#DIV/0!</v>
      </c>
      <c r="H166" s="4">
        <f t="shared" si="44"/>
        <v>-1.6224495093712683</v>
      </c>
      <c r="I166" s="4" t="e">
        <f t="shared" si="45"/>
        <v>#DIV/0!</v>
      </c>
    </row>
    <row r="167" spans="1:9" x14ac:dyDescent="0.25">
      <c r="A167">
        <f t="shared" si="38"/>
        <v>652</v>
      </c>
      <c r="B167" s="3">
        <f t="shared" si="39"/>
        <v>163</v>
      </c>
      <c r="C167" s="3">
        <f t="shared" si="40"/>
        <v>-62</v>
      </c>
      <c r="D167" s="4">
        <f t="shared" si="37"/>
        <v>-1.6886241713272636</v>
      </c>
      <c r="E167" s="4" t="e">
        <f t="shared" si="41"/>
        <v>#DIV/0!</v>
      </c>
      <c r="F167" s="4">
        <f t="shared" si="42"/>
        <v>-1.0982207149631007</v>
      </c>
      <c r="G167" s="4" t="e">
        <f t="shared" si="43"/>
        <v>#DIV/0!</v>
      </c>
      <c r="H167" s="4">
        <f t="shared" si="44"/>
        <v>-1.6490470423117807</v>
      </c>
      <c r="I167" s="4" t="e">
        <f t="shared" si="45"/>
        <v>#DIV/0!</v>
      </c>
    </row>
    <row r="168" spans="1:9" x14ac:dyDescent="0.25">
      <c r="A168">
        <f t="shared" si="38"/>
        <v>656</v>
      </c>
      <c r="B168" s="3">
        <f t="shared" si="39"/>
        <v>164</v>
      </c>
      <c r="C168" s="3">
        <f t="shared" si="40"/>
        <v>-63</v>
      </c>
      <c r="D168" s="4">
        <f t="shared" si="37"/>
        <v>-1.7158600450583483</v>
      </c>
      <c r="E168" s="4" t="e">
        <f t="shared" si="41"/>
        <v>#DIV/0!</v>
      </c>
      <c r="F168" s="4">
        <f t="shared" si="42"/>
        <v>-1.1159339523012151</v>
      </c>
      <c r="G168" s="4" t="e">
        <f t="shared" si="43"/>
        <v>#DIV/0!</v>
      </c>
      <c r="H168" s="4">
        <f t="shared" si="44"/>
        <v>-1.6756445752522935</v>
      </c>
      <c r="I168" s="4" t="e">
        <f t="shared" si="45"/>
        <v>#DIV/0!</v>
      </c>
    </row>
    <row r="169" spans="1:9" x14ac:dyDescent="0.25">
      <c r="A169">
        <f t="shared" si="38"/>
        <v>660</v>
      </c>
      <c r="B169" s="3">
        <f t="shared" si="39"/>
        <v>165</v>
      </c>
      <c r="C169" s="3">
        <f t="shared" si="40"/>
        <v>-64</v>
      </c>
      <c r="D169" s="4">
        <f t="shared" si="37"/>
        <v>-1.7430959187894333</v>
      </c>
      <c r="E169" s="4" t="e">
        <f t="shared" si="41"/>
        <v>#DIV/0!</v>
      </c>
      <c r="F169" s="4">
        <f t="shared" si="42"/>
        <v>-1.1336471896393296</v>
      </c>
      <c r="G169" s="4" t="e">
        <f t="shared" si="43"/>
        <v>#DIV/0!</v>
      </c>
      <c r="H169" s="4">
        <f t="shared" si="44"/>
        <v>-1.7022421081928061</v>
      </c>
      <c r="I169" s="4" t="e">
        <f t="shared" si="45"/>
        <v>#DIV/0!</v>
      </c>
    </row>
    <row r="170" spans="1:9" x14ac:dyDescent="0.25">
      <c r="A170">
        <f t="shared" si="38"/>
        <v>664</v>
      </c>
      <c r="B170" s="3">
        <f t="shared" si="39"/>
        <v>166</v>
      </c>
      <c r="C170" s="3">
        <f t="shared" si="40"/>
        <v>-65</v>
      </c>
      <c r="D170" s="4">
        <f t="shared" si="37"/>
        <v>-1.7703317925205184</v>
      </c>
      <c r="E170" s="4" t="e">
        <f t="shared" si="41"/>
        <v>#DIV/0!</v>
      </c>
      <c r="F170" s="4">
        <f t="shared" si="42"/>
        <v>-1.1513604269774442</v>
      </c>
      <c r="G170" s="4" t="e">
        <f t="shared" si="43"/>
        <v>#DIV/0!</v>
      </c>
      <c r="H170" s="4">
        <f t="shared" si="44"/>
        <v>-1.7288396411333187</v>
      </c>
      <c r="I170" s="4" t="e">
        <f t="shared" si="45"/>
        <v>#DIV/0!</v>
      </c>
    </row>
    <row r="171" spans="1:9" x14ac:dyDescent="0.25">
      <c r="A171">
        <f t="shared" si="38"/>
        <v>668</v>
      </c>
      <c r="B171" s="3">
        <f t="shared" si="39"/>
        <v>167</v>
      </c>
      <c r="C171" s="3">
        <f t="shared" si="40"/>
        <v>-66</v>
      </c>
      <c r="D171" s="4">
        <f t="shared" si="37"/>
        <v>-1.7975676662516029</v>
      </c>
      <c r="E171" s="4" t="e">
        <f t="shared" si="41"/>
        <v>#DIV/0!</v>
      </c>
      <c r="F171" s="4">
        <f t="shared" si="42"/>
        <v>-1.1690736643155586</v>
      </c>
      <c r="G171" s="4" t="e">
        <f t="shared" si="43"/>
        <v>#DIV/0!</v>
      </c>
      <c r="H171" s="4">
        <f t="shared" si="44"/>
        <v>-1.7554371740738313</v>
      </c>
      <c r="I171" s="4" t="e">
        <f t="shared" si="45"/>
        <v>#DIV/0!</v>
      </c>
    </row>
    <row r="172" spans="1:9" x14ac:dyDescent="0.25">
      <c r="A172">
        <f t="shared" si="38"/>
        <v>672</v>
      </c>
      <c r="B172" s="3">
        <f t="shared" si="39"/>
        <v>168</v>
      </c>
      <c r="C172" s="3">
        <f t="shared" si="40"/>
        <v>-67</v>
      </c>
      <c r="D172" s="4">
        <f t="shared" si="37"/>
        <v>-1.8248035399826881</v>
      </c>
      <c r="E172" s="4" t="e">
        <f t="shared" si="41"/>
        <v>#DIV/0!</v>
      </c>
      <c r="F172" s="4">
        <f t="shared" si="42"/>
        <v>-1.1867869016536732</v>
      </c>
      <c r="G172" s="4" t="e">
        <f t="shared" si="43"/>
        <v>#DIV/0!</v>
      </c>
      <c r="H172" s="4">
        <f t="shared" si="44"/>
        <v>-1.7820347070143436</v>
      </c>
      <c r="I172" s="4" t="e">
        <f t="shared" si="45"/>
        <v>#DIV/0!</v>
      </c>
    </row>
    <row r="173" spans="1:9" x14ac:dyDescent="0.25">
      <c r="A173">
        <f t="shared" si="38"/>
        <v>676</v>
      </c>
      <c r="B173" s="3">
        <f t="shared" si="39"/>
        <v>169</v>
      </c>
      <c r="C173" s="3">
        <f t="shared" si="40"/>
        <v>-68</v>
      </c>
      <c r="D173" s="4">
        <f t="shared" si="37"/>
        <v>-1.8520394137137728</v>
      </c>
      <c r="E173" s="4" t="e">
        <f t="shared" si="41"/>
        <v>#DIV/0!</v>
      </c>
      <c r="F173" s="4">
        <f t="shared" si="42"/>
        <v>-1.2045001389917878</v>
      </c>
      <c r="G173" s="4" t="e">
        <f t="shared" si="43"/>
        <v>#DIV/0!</v>
      </c>
      <c r="H173" s="4">
        <f t="shared" si="44"/>
        <v>-1.8086322399548564</v>
      </c>
      <c r="I173" s="4" t="e">
        <f t="shared" si="45"/>
        <v>#DIV/0!</v>
      </c>
    </row>
    <row r="174" spans="1:9" x14ac:dyDescent="0.25">
      <c r="A174">
        <f t="shared" si="38"/>
        <v>680</v>
      </c>
      <c r="B174" s="3">
        <f t="shared" si="39"/>
        <v>170</v>
      </c>
      <c r="C174" s="3">
        <f t="shared" si="40"/>
        <v>-69</v>
      </c>
      <c r="D174" s="4">
        <f t="shared" si="37"/>
        <v>-1.8792752874448579</v>
      </c>
      <c r="E174" s="4" t="e">
        <f t="shared" si="41"/>
        <v>#DIV/0!</v>
      </c>
      <c r="F174" s="4">
        <f t="shared" si="42"/>
        <v>-1.2222133763299023</v>
      </c>
      <c r="G174" s="4" t="e">
        <f t="shared" si="43"/>
        <v>#DIV/0!</v>
      </c>
      <c r="H174" s="4">
        <f t="shared" si="44"/>
        <v>-1.8352297728953688</v>
      </c>
      <c r="I174" s="4" t="e">
        <f t="shared" si="45"/>
        <v>#DIV/0!</v>
      </c>
    </row>
    <row r="175" spans="1:9" x14ac:dyDescent="0.25">
      <c r="A175">
        <f t="shared" si="38"/>
        <v>684</v>
      </c>
      <c r="B175" s="3">
        <f t="shared" si="39"/>
        <v>171</v>
      </c>
      <c r="C175" s="3">
        <f t="shared" si="40"/>
        <v>-70</v>
      </c>
      <c r="D175" s="4">
        <f t="shared" si="37"/>
        <v>-1.9065111611759427</v>
      </c>
      <c r="E175" s="4" t="e">
        <f t="shared" si="41"/>
        <v>#DIV/0!</v>
      </c>
      <c r="F175" s="4">
        <f t="shared" si="42"/>
        <v>-1.2399266136680167</v>
      </c>
      <c r="G175" s="4" t="e">
        <f t="shared" si="43"/>
        <v>#DIV/0!</v>
      </c>
      <c r="H175" s="4">
        <f t="shared" si="44"/>
        <v>-1.8618273058358816</v>
      </c>
      <c r="I175" s="4" t="e">
        <f t="shared" si="45"/>
        <v>#DIV/0!</v>
      </c>
    </row>
    <row r="176" spans="1:9" x14ac:dyDescent="0.25">
      <c r="A176">
        <f t="shared" si="38"/>
        <v>688</v>
      </c>
      <c r="B176" s="3">
        <f t="shared" si="39"/>
        <v>172</v>
      </c>
      <c r="C176" s="3">
        <f t="shared" si="40"/>
        <v>-71</v>
      </c>
      <c r="D176" s="4">
        <f t="shared" si="37"/>
        <v>-1.9337470349070276</v>
      </c>
      <c r="E176" s="4" t="e">
        <f t="shared" si="41"/>
        <v>#DIV/0!</v>
      </c>
      <c r="F176" s="4">
        <f t="shared" si="42"/>
        <v>-1.2576398510061315</v>
      </c>
      <c r="G176" s="4" t="e">
        <f t="shared" si="43"/>
        <v>#DIV/0!</v>
      </c>
      <c r="H176" s="4">
        <f t="shared" si="44"/>
        <v>-1.888424838776394</v>
      </c>
      <c r="I176" s="4" t="e">
        <f t="shared" si="45"/>
        <v>#DIV/0!</v>
      </c>
    </row>
    <row r="177" spans="1:9" x14ac:dyDescent="0.25">
      <c r="A177">
        <f t="shared" si="38"/>
        <v>692</v>
      </c>
      <c r="B177" s="3">
        <f t="shared" si="39"/>
        <v>173</v>
      </c>
      <c r="C177" s="3">
        <f t="shared" si="40"/>
        <v>-72</v>
      </c>
      <c r="D177" s="4">
        <f t="shared" si="37"/>
        <v>-1.9609829086381125</v>
      </c>
      <c r="E177" s="4" t="e">
        <f t="shared" si="41"/>
        <v>#DIV/0!</v>
      </c>
      <c r="F177" s="4">
        <f t="shared" si="42"/>
        <v>-1.2753530883442459</v>
      </c>
      <c r="G177" s="4" t="e">
        <f t="shared" si="43"/>
        <v>#DIV/0!</v>
      </c>
      <c r="H177" s="4">
        <f t="shared" si="44"/>
        <v>-1.9150223717169068</v>
      </c>
      <c r="I177" s="4" t="e">
        <f t="shared" si="45"/>
        <v>#DIV/0!</v>
      </c>
    </row>
    <row r="178" spans="1:9" x14ac:dyDescent="0.25">
      <c r="A178">
        <f t="shared" si="38"/>
        <v>696</v>
      </c>
      <c r="B178" s="3">
        <f t="shared" si="39"/>
        <v>174</v>
      </c>
      <c r="C178" s="3">
        <f t="shared" si="40"/>
        <v>-73</v>
      </c>
      <c r="D178" s="4">
        <f t="shared" si="37"/>
        <v>-1.9882187823691975</v>
      </c>
      <c r="E178" s="4" t="e">
        <f t="shared" si="41"/>
        <v>#DIV/0!</v>
      </c>
      <c r="F178" s="4">
        <f t="shared" si="42"/>
        <v>-1.2930663256823605</v>
      </c>
      <c r="G178" s="4" t="e">
        <f t="shared" si="43"/>
        <v>#DIV/0!</v>
      </c>
      <c r="H178" s="4">
        <f t="shared" si="44"/>
        <v>-1.9416199046574194</v>
      </c>
      <c r="I178" s="4" t="e">
        <f t="shared" si="45"/>
        <v>#DIV/0!</v>
      </c>
    </row>
    <row r="179" spans="1:9" x14ac:dyDescent="0.25">
      <c r="A179">
        <f t="shared" si="38"/>
        <v>700</v>
      </c>
      <c r="B179" s="3">
        <f t="shared" si="39"/>
        <v>175</v>
      </c>
      <c r="C179" s="3">
        <f t="shared" si="40"/>
        <v>-74</v>
      </c>
      <c r="D179" s="4">
        <f t="shared" si="37"/>
        <v>-2.0154546561002826</v>
      </c>
      <c r="E179" s="4" t="e">
        <f t="shared" si="41"/>
        <v>#DIV/0!</v>
      </c>
      <c r="F179" s="4">
        <f t="shared" si="42"/>
        <v>-1.310779563020475</v>
      </c>
      <c r="G179" s="4" t="e">
        <f t="shared" si="43"/>
        <v>#DIV/0!</v>
      </c>
      <c r="H179" s="4">
        <f t="shared" si="44"/>
        <v>-1.968217437597932</v>
      </c>
      <c r="I179" s="4" t="e">
        <f t="shared" si="45"/>
        <v>#DIV/0!</v>
      </c>
    </row>
    <row r="180" spans="1:9" x14ac:dyDescent="0.25">
      <c r="A180">
        <f t="shared" si="38"/>
        <v>704</v>
      </c>
      <c r="B180" s="3">
        <f t="shared" si="39"/>
        <v>176</v>
      </c>
      <c r="C180" s="3">
        <f t="shared" si="40"/>
        <v>-75</v>
      </c>
      <c r="D180" s="4">
        <f t="shared" si="37"/>
        <v>-2.0426905298313671</v>
      </c>
      <c r="E180" s="4" t="e">
        <f t="shared" si="41"/>
        <v>#DIV/0!</v>
      </c>
      <c r="F180" s="4">
        <f t="shared" si="42"/>
        <v>-1.3284928003585894</v>
      </c>
      <c r="G180" s="4" t="e">
        <f t="shared" si="43"/>
        <v>#DIV/0!</v>
      </c>
      <c r="H180" s="4">
        <f t="shared" si="44"/>
        <v>-1.9948149705384446</v>
      </c>
      <c r="I180" s="4" t="e">
        <f t="shared" si="45"/>
        <v>#DIV/0!</v>
      </c>
    </row>
    <row r="181" spans="1:9" x14ac:dyDescent="0.25">
      <c r="A181">
        <f t="shared" si="38"/>
        <v>708</v>
      </c>
      <c r="B181" s="3">
        <f t="shared" si="39"/>
        <v>177</v>
      </c>
      <c r="C181" s="3">
        <f t="shared" si="40"/>
        <v>-76</v>
      </c>
      <c r="D181" s="4">
        <f t="shared" si="37"/>
        <v>-2.0699264035624521</v>
      </c>
      <c r="E181" s="4" t="e">
        <f t="shared" si="41"/>
        <v>#DIV/0!</v>
      </c>
      <c r="F181" s="4">
        <f t="shared" si="42"/>
        <v>-1.346206037696704</v>
      </c>
      <c r="G181" s="4" t="e">
        <f t="shared" si="43"/>
        <v>#DIV/0!</v>
      </c>
      <c r="H181" s="4">
        <f t="shared" si="44"/>
        <v>-2.021412503478957</v>
      </c>
      <c r="I181" s="4" t="e">
        <f t="shared" si="45"/>
        <v>#DIV/0!</v>
      </c>
    </row>
    <row r="182" spans="1:9" x14ac:dyDescent="0.25">
      <c r="A182">
        <f t="shared" si="38"/>
        <v>712</v>
      </c>
      <c r="B182" s="3">
        <f t="shared" si="39"/>
        <v>178</v>
      </c>
      <c r="C182" s="3">
        <f t="shared" si="40"/>
        <v>-77</v>
      </c>
      <c r="D182" s="4">
        <f t="shared" si="37"/>
        <v>-2.097162277293537</v>
      </c>
      <c r="E182" s="4" t="e">
        <f t="shared" si="41"/>
        <v>#DIV/0!</v>
      </c>
      <c r="F182" s="4">
        <f t="shared" si="42"/>
        <v>-1.3639192750348186</v>
      </c>
      <c r="G182" s="4" t="e">
        <f t="shared" si="43"/>
        <v>#DIV/0!</v>
      </c>
      <c r="H182" s="4">
        <f t="shared" si="44"/>
        <v>-2.0480100364194698</v>
      </c>
      <c r="I182" s="4" t="e">
        <f t="shared" si="45"/>
        <v>#DIV/0!</v>
      </c>
    </row>
    <row r="183" spans="1:9" x14ac:dyDescent="0.25">
      <c r="A183">
        <f t="shared" si="38"/>
        <v>716</v>
      </c>
      <c r="B183" s="3">
        <f t="shared" si="39"/>
        <v>179</v>
      </c>
      <c r="C183" s="3">
        <f t="shared" si="40"/>
        <v>-78</v>
      </c>
      <c r="D183" s="4">
        <f t="shared" si="37"/>
        <v>-2.1243981510246219</v>
      </c>
      <c r="E183" s="4" t="e">
        <f t="shared" si="41"/>
        <v>#DIV/0!</v>
      </c>
      <c r="F183" s="4">
        <f t="shared" si="42"/>
        <v>-1.3816325123729332</v>
      </c>
      <c r="G183" s="4" t="e">
        <f t="shared" si="43"/>
        <v>#DIV/0!</v>
      </c>
      <c r="H183" s="4">
        <f t="shared" si="44"/>
        <v>-2.0746075693599821</v>
      </c>
      <c r="I183" s="4" t="e">
        <f t="shared" si="45"/>
        <v>#DIV/0!</v>
      </c>
    </row>
    <row r="184" spans="1:9" x14ac:dyDescent="0.25">
      <c r="A184">
        <f t="shared" si="38"/>
        <v>720</v>
      </c>
      <c r="B184" s="3">
        <f t="shared" si="39"/>
        <v>180</v>
      </c>
      <c r="C184" s="3">
        <f t="shared" si="40"/>
        <v>-79</v>
      </c>
      <c r="D184" s="4">
        <f t="shared" si="37"/>
        <v>-2.1516340247557069</v>
      </c>
      <c r="E184" s="4" t="e">
        <f t="shared" si="41"/>
        <v>#DIV/0!</v>
      </c>
      <c r="F184" s="4">
        <f t="shared" si="42"/>
        <v>-1.3993457497110475</v>
      </c>
      <c r="G184" s="4" t="e">
        <f t="shared" si="43"/>
        <v>#DIV/0!</v>
      </c>
      <c r="H184" s="4">
        <f t="shared" si="44"/>
        <v>-2.101205102300495</v>
      </c>
      <c r="I184" s="4" t="e">
        <f t="shared" si="45"/>
        <v>#DIV/0!</v>
      </c>
    </row>
    <row r="185" spans="1:9" x14ac:dyDescent="0.25">
      <c r="A185">
        <f t="shared" si="38"/>
        <v>724</v>
      </c>
      <c r="B185" s="3">
        <f t="shared" si="39"/>
        <v>181</v>
      </c>
      <c r="C185" s="3">
        <f t="shared" si="40"/>
        <v>-80</v>
      </c>
      <c r="D185" s="4">
        <f t="shared" si="37"/>
        <v>-2.1788698984867918</v>
      </c>
      <c r="E185" s="4" t="e">
        <f t="shared" si="41"/>
        <v>#DIV/0!</v>
      </c>
      <c r="F185" s="4">
        <f t="shared" si="42"/>
        <v>-1.4170589870491621</v>
      </c>
      <c r="G185" s="4" t="e">
        <f t="shared" si="43"/>
        <v>#DIV/0!</v>
      </c>
      <c r="H185" s="4">
        <f t="shared" si="44"/>
        <v>-2.1278026352410073</v>
      </c>
      <c r="I185" s="4" t="e">
        <f t="shared" si="45"/>
        <v>#DIV/0!</v>
      </c>
    </row>
    <row r="186" spans="1:9" x14ac:dyDescent="0.25">
      <c r="A186">
        <f t="shared" si="38"/>
        <v>728</v>
      </c>
      <c r="B186" s="3">
        <f t="shared" si="39"/>
        <v>182</v>
      </c>
      <c r="C186" s="3">
        <f t="shared" si="40"/>
        <v>-81</v>
      </c>
      <c r="D186" s="4">
        <f t="shared" si="37"/>
        <v>-2.2061057722178767</v>
      </c>
      <c r="E186" s="4" t="e">
        <f t="shared" si="41"/>
        <v>#DIV/0!</v>
      </c>
      <c r="F186" s="4">
        <f t="shared" si="42"/>
        <v>-1.4347722243872767</v>
      </c>
      <c r="G186" s="4" t="e">
        <f t="shared" si="43"/>
        <v>#DIV/0!</v>
      </c>
      <c r="H186" s="4">
        <f t="shared" si="44"/>
        <v>-2.1544001681815201</v>
      </c>
      <c r="I186" s="4" t="e">
        <f t="shared" si="45"/>
        <v>#DIV/0!</v>
      </c>
    </row>
    <row r="187" spans="1:9" x14ac:dyDescent="0.25">
      <c r="A187">
        <f t="shared" si="38"/>
        <v>732</v>
      </c>
      <c r="B187" s="3">
        <f t="shared" si="39"/>
        <v>183</v>
      </c>
      <c r="C187" s="3">
        <f t="shared" si="40"/>
        <v>-82</v>
      </c>
      <c r="D187" s="4">
        <f t="shared" si="37"/>
        <v>-2.2333416459489617</v>
      </c>
      <c r="E187" s="4" t="e">
        <f t="shared" si="41"/>
        <v>#DIV/0!</v>
      </c>
      <c r="F187" s="4">
        <f t="shared" si="42"/>
        <v>-1.4524854617253911</v>
      </c>
      <c r="G187" s="4" t="e">
        <f t="shared" si="43"/>
        <v>#DIV/0!</v>
      </c>
      <c r="H187" s="4">
        <f t="shared" si="44"/>
        <v>-2.1809977011220325</v>
      </c>
      <c r="I187" s="4" t="e">
        <f t="shared" si="45"/>
        <v>#DIV/0!</v>
      </c>
    </row>
    <row r="188" spans="1:9" x14ac:dyDescent="0.25">
      <c r="A188">
        <f t="shared" si="38"/>
        <v>736</v>
      </c>
      <c r="B188" s="3">
        <f t="shared" si="39"/>
        <v>184</v>
      </c>
      <c r="C188" s="3">
        <f t="shared" si="40"/>
        <v>-83</v>
      </c>
      <c r="D188" s="4">
        <f t="shared" si="37"/>
        <v>-2.2605775196800462</v>
      </c>
      <c r="E188" s="4" t="e">
        <f t="shared" si="41"/>
        <v>#DIV/0!</v>
      </c>
      <c r="F188" s="4">
        <f t="shared" si="42"/>
        <v>-1.4701986990635056</v>
      </c>
      <c r="G188" s="4" t="e">
        <f t="shared" si="43"/>
        <v>#DIV/0!</v>
      </c>
      <c r="H188" s="4">
        <f t="shared" si="44"/>
        <v>-2.2075952340625453</v>
      </c>
      <c r="I188" s="4" t="e">
        <f t="shared" si="45"/>
        <v>#DIV/0!</v>
      </c>
    </row>
    <row r="189" spans="1:9" x14ac:dyDescent="0.25">
      <c r="A189">
        <f t="shared" si="38"/>
        <v>740</v>
      </c>
      <c r="B189" s="3">
        <f t="shared" si="39"/>
        <v>185</v>
      </c>
      <c r="C189" s="3">
        <f t="shared" si="40"/>
        <v>-84</v>
      </c>
      <c r="D189" s="4">
        <f t="shared" si="37"/>
        <v>-2.2878133934111311</v>
      </c>
      <c r="E189" s="4" t="e">
        <f t="shared" si="41"/>
        <v>#DIV/0!</v>
      </c>
      <c r="F189" s="4">
        <f t="shared" si="42"/>
        <v>-1.4879119364016202</v>
      </c>
      <c r="G189" s="4" t="e">
        <f t="shared" si="43"/>
        <v>#DIV/0!</v>
      </c>
      <c r="H189" s="4">
        <f t="shared" si="44"/>
        <v>-2.2341927670030577</v>
      </c>
      <c r="I189" s="4" t="e">
        <f t="shared" si="45"/>
        <v>#DIV/0!</v>
      </c>
    </row>
    <row r="190" spans="1:9" x14ac:dyDescent="0.25">
      <c r="A190">
        <f t="shared" si="38"/>
        <v>744</v>
      </c>
      <c r="B190" s="3">
        <f t="shared" si="39"/>
        <v>186</v>
      </c>
      <c r="C190" s="3">
        <f t="shared" si="40"/>
        <v>-85</v>
      </c>
      <c r="D190" s="4">
        <f t="shared" si="37"/>
        <v>-2.3150492671422165</v>
      </c>
      <c r="E190" s="4" t="e">
        <f t="shared" si="41"/>
        <v>#DIV/0!</v>
      </c>
      <c r="F190" s="4">
        <f t="shared" si="42"/>
        <v>-1.5056251737397348</v>
      </c>
      <c r="G190" s="4" t="e">
        <f t="shared" si="43"/>
        <v>#DIV/0!</v>
      </c>
      <c r="H190" s="4">
        <f t="shared" si="44"/>
        <v>-2.2607902999435701</v>
      </c>
      <c r="I190" s="4" t="e">
        <f t="shared" si="45"/>
        <v>#DIV/0!</v>
      </c>
    </row>
    <row r="191" spans="1:9" x14ac:dyDescent="0.25">
      <c r="A191">
        <f t="shared" si="38"/>
        <v>748</v>
      </c>
      <c r="B191" s="3">
        <f t="shared" si="39"/>
        <v>187</v>
      </c>
      <c r="C191" s="3">
        <f t="shared" si="40"/>
        <v>-86</v>
      </c>
      <c r="D191" s="4">
        <f t="shared" si="37"/>
        <v>-2.342285140873301</v>
      </c>
      <c r="E191" s="4" t="e">
        <f t="shared" si="41"/>
        <v>#DIV/0!</v>
      </c>
      <c r="F191" s="4">
        <f t="shared" si="42"/>
        <v>-1.5233384110778494</v>
      </c>
      <c r="G191" s="4" t="e">
        <f t="shared" si="43"/>
        <v>#DIV/0!</v>
      </c>
      <c r="H191" s="4">
        <f t="shared" si="44"/>
        <v>-2.2873878328840833</v>
      </c>
      <c r="I191" s="4" t="e">
        <f t="shared" si="45"/>
        <v>#DIV/0!</v>
      </c>
    </row>
    <row r="192" spans="1:9" x14ac:dyDescent="0.25">
      <c r="A192">
        <f t="shared" si="38"/>
        <v>752</v>
      </c>
      <c r="B192" s="3">
        <f t="shared" si="39"/>
        <v>188</v>
      </c>
      <c r="C192" s="3">
        <f t="shared" si="40"/>
        <v>-87</v>
      </c>
      <c r="D192" s="4">
        <f t="shared" si="37"/>
        <v>-2.3695210146043859</v>
      </c>
      <c r="E192" s="4" t="e">
        <f t="shared" si="41"/>
        <v>#DIV/0!</v>
      </c>
      <c r="F192" s="4">
        <f t="shared" si="42"/>
        <v>-1.5410516484159638</v>
      </c>
      <c r="G192" s="4" t="e">
        <f t="shared" si="43"/>
        <v>#DIV/0!</v>
      </c>
      <c r="H192" s="4">
        <f t="shared" si="44"/>
        <v>-2.3139853658245952</v>
      </c>
      <c r="I192" s="4" t="e">
        <f t="shared" si="45"/>
        <v>#DIV/0!</v>
      </c>
    </row>
    <row r="193" spans="1:9" x14ac:dyDescent="0.25">
      <c r="A193">
        <f t="shared" si="38"/>
        <v>756</v>
      </c>
      <c r="B193" s="3">
        <f t="shared" si="39"/>
        <v>189</v>
      </c>
      <c r="C193" s="3">
        <f t="shared" si="40"/>
        <v>-88</v>
      </c>
      <c r="D193" s="4">
        <f t="shared" si="37"/>
        <v>-2.3967568883354708</v>
      </c>
      <c r="E193" s="4" t="e">
        <f t="shared" si="41"/>
        <v>#DIV/0!</v>
      </c>
      <c r="F193" s="4">
        <f t="shared" si="42"/>
        <v>-1.5587648857540783</v>
      </c>
      <c r="G193" s="4" t="e">
        <f t="shared" si="43"/>
        <v>#DIV/0!</v>
      </c>
      <c r="H193" s="4">
        <f t="shared" si="44"/>
        <v>-2.3405828987651081</v>
      </c>
      <c r="I193" s="4" t="e">
        <f t="shared" si="45"/>
        <v>#DIV/0!</v>
      </c>
    </row>
    <row r="194" spans="1:9" x14ac:dyDescent="0.25">
      <c r="A194">
        <f t="shared" si="38"/>
        <v>760</v>
      </c>
      <c r="B194" s="3">
        <f t="shared" si="39"/>
        <v>190</v>
      </c>
      <c r="C194" s="3">
        <f t="shared" si="40"/>
        <v>-89</v>
      </c>
      <c r="D194" s="4">
        <f t="shared" si="37"/>
        <v>-2.4239927620665558</v>
      </c>
      <c r="E194" s="4" t="e">
        <f t="shared" si="41"/>
        <v>#DIV/0!</v>
      </c>
      <c r="F194" s="4">
        <f t="shared" si="42"/>
        <v>-1.5764781230921929</v>
      </c>
      <c r="G194" s="4" t="e">
        <f t="shared" si="43"/>
        <v>#DIV/0!</v>
      </c>
      <c r="H194" s="4">
        <f t="shared" si="44"/>
        <v>-2.3671804317056204</v>
      </c>
      <c r="I194" s="4" t="e">
        <f t="shared" si="45"/>
        <v>#DIV/0!</v>
      </c>
    </row>
    <row r="195" spans="1:9" x14ac:dyDescent="0.25">
      <c r="A195">
        <f t="shared" si="38"/>
        <v>764</v>
      </c>
      <c r="B195" s="3">
        <f t="shared" si="39"/>
        <v>191</v>
      </c>
      <c r="C195" s="3">
        <f t="shared" si="40"/>
        <v>-90</v>
      </c>
      <c r="D195" s="4">
        <f t="shared" si="37"/>
        <v>-2.4512286357976407</v>
      </c>
      <c r="E195" s="4" t="e">
        <f t="shared" si="41"/>
        <v>#DIV/0!</v>
      </c>
      <c r="F195" s="4">
        <f t="shared" si="42"/>
        <v>-1.5941913604303075</v>
      </c>
      <c r="G195" s="4" t="e">
        <f t="shared" si="43"/>
        <v>#DIV/0!</v>
      </c>
      <c r="H195" s="4">
        <f t="shared" si="44"/>
        <v>-2.3937779646461332</v>
      </c>
      <c r="I195" s="4" t="e">
        <f t="shared" si="45"/>
        <v>#DIV/0!</v>
      </c>
    </row>
    <row r="196" spans="1:9" x14ac:dyDescent="0.25">
      <c r="A196">
        <f t="shared" si="38"/>
        <v>768</v>
      </c>
      <c r="B196" s="3">
        <f t="shared" si="39"/>
        <v>192</v>
      </c>
      <c r="C196" s="3">
        <f t="shared" si="40"/>
        <v>-91</v>
      </c>
      <c r="D196" s="4">
        <f t="shared" si="37"/>
        <v>-2.4784645095287252</v>
      </c>
      <c r="E196" s="4" t="e">
        <f t="shared" si="41"/>
        <v>#DIV/0!</v>
      </c>
      <c r="F196" s="4">
        <f t="shared" si="42"/>
        <v>-1.6119045977684217</v>
      </c>
      <c r="G196" s="4" t="e">
        <f t="shared" si="43"/>
        <v>#DIV/0!</v>
      </c>
      <c r="H196" s="4">
        <f t="shared" si="44"/>
        <v>-2.4203754975866461</v>
      </c>
      <c r="I196" s="4" t="e">
        <f t="shared" si="45"/>
        <v>#DIV/0!</v>
      </c>
    </row>
    <row r="197" spans="1:9" x14ac:dyDescent="0.25">
      <c r="A197">
        <f t="shared" si="38"/>
        <v>772</v>
      </c>
      <c r="B197" s="3">
        <f t="shared" si="39"/>
        <v>193</v>
      </c>
      <c r="C197" s="3">
        <f t="shared" si="40"/>
        <v>-92</v>
      </c>
      <c r="D197" s="4">
        <f t="shared" si="37"/>
        <v>-2.5057003832598106</v>
      </c>
      <c r="E197" s="4" t="e">
        <f t="shared" si="41"/>
        <v>#DIV/0!</v>
      </c>
      <c r="F197" s="4">
        <f t="shared" si="42"/>
        <v>-1.6296178351065365</v>
      </c>
      <c r="G197" s="4" t="e">
        <f t="shared" si="43"/>
        <v>#DIV/0!</v>
      </c>
      <c r="H197" s="4">
        <f t="shared" si="44"/>
        <v>-2.4469730305271584</v>
      </c>
      <c r="I197" s="4" t="e">
        <f t="shared" si="45"/>
        <v>#DIV/0!</v>
      </c>
    </row>
    <row r="198" spans="1:9" x14ac:dyDescent="0.25">
      <c r="A198">
        <f t="shared" si="38"/>
        <v>776</v>
      </c>
      <c r="B198" s="3">
        <f t="shared" si="39"/>
        <v>194</v>
      </c>
      <c r="C198" s="3">
        <f t="shared" si="40"/>
        <v>-93</v>
      </c>
      <c r="D198" s="4">
        <f t="shared" si="37"/>
        <v>-2.5329362569908951</v>
      </c>
      <c r="E198" s="4" t="e">
        <f t="shared" si="41"/>
        <v>#DIV/0!</v>
      </c>
      <c r="F198" s="4">
        <f t="shared" si="42"/>
        <v>-1.6473310724446508</v>
      </c>
      <c r="G198" s="4" t="e">
        <f t="shared" si="43"/>
        <v>#DIV/0!</v>
      </c>
      <c r="H198" s="4">
        <f t="shared" si="44"/>
        <v>-2.4735705634676712</v>
      </c>
      <c r="I198" s="4" t="e">
        <f t="shared" si="45"/>
        <v>#DIV/0!</v>
      </c>
    </row>
    <row r="199" spans="1:9" x14ac:dyDescent="0.25">
      <c r="A199">
        <f t="shared" si="38"/>
        <v>780</v>
      </c>
      <c r="B199" s="3">
        <f t="shared" si="39"/>
        <v>195</v>
      </c>
      <c r="C199" s="3">
        <f t="shared" si="40"/>
        <v>-94</v>
      </c>
      <c r="D199" s="4">
        <f t="shared" si="37"/>
        <v>-2.5601721307219805</v>
      </c>
      <c r="E199" s="4" t="e">
        <f t="shared" si="41"/>
        <v>#DIV/0!</v>
      </c>
      <c r="F199" s="4">
        <f t="shared" si="42"/>
        <v>-1.6650443097827656</v>
      </c>
      <c r="G199" s="4" t="e">
        <f t="shared" si="43"/>
        <v>#DIV/0!</v>
      </c>
      <c r="H199" s="4">
        <f t="shared" si="44"/>
        <v>-2.5001680964081836</v>
      </c>
      <c r="I199" s="4" t="e">
        <f t="shared" si="45"/>
        <v>#DIV/0!</v>
      </c>
    </row>
    <row r="200" spans="1:9" x14ac:dyDescent="0.25">
      <c r="A200">
        <f t="shared" si="38"/>
        <v>784</v>
      </c>
      <c r="B200" s="3">
        <f t="shared" si="39"/>
        <v>196</v>
      </c>
      <c r="C200" s="3">
        <f t="shared" si="40"/>
        <v>-95</v>
      </c>
      <c r="D200" s="4">
        <f t="shared" si="37"/>
        <v>-2.587408004453065</v>
      </c>
      <c r="E200" s="4" t="e">
        <f t="shared" si="41"/>
        <v>#DIV/0!</v>
      </c>
      <c r="F200" s="4">
        <f t="shared" si="42"/>
        <v>-1.6827575471208798</v>
      </c>
      <c r="G200" s="4" t="e">
        <f t="shared" si="43"/>
        <v>#DIV/0!</v>
      </c>
      <c r="H200" s="4">
        <f t="shared" si="44"/>
        <v>-2.5267656293486964</v>
      </c>
      <c r="I200" s="4" t="e">
        <f t="shared" si="45"/>
        <v>#DIV/0!</v>
      </c>
    </row>
    <row r="201" spans="1:9" x14ac:dyDescent="0.25">
      <c r="A201">
        <f t="shared" si="38"/>
        <v>788</v>
      </c>
      <c r="B201" s="3">
        <f t="shared" si="39"/>
        <v>197</v>
      </c>
      <c r="C201" s="3">
        <f t="shared" si="40"/>
        <v>-96</v>
      </c>
      <c r="D201" s="4">
        <f t="shared" si="37"/>
        <v>-2.6146438781841499</v>
      </c>
      <c r="E201" s="4" t="e">
        <f t="shared" si="41"/>
        <v>#DIV/0!</v>
      </c>
      <c r="F201" s="4">
        <f t="shared" si="42"/>
        <v>-1.7004707844589946</v>
      </c>
      <c r="G201" s="4" t="e">
        <f t="shared" si="43"/>
        <v>#DIV/0!</v>
      </c>
      <c r="H201" s="4">
        <f t="shared" si="44"/>
        <v>-2.5533631622892092</v>
      </c>
      <c r="I201" s="4" t="e">
        <f t="shared" si="45"/>
        <v>#DIV/0!</v>
      </c>
    </row>
    <row r="202" spans="1:9" x14ac:dyDescent="0.25">
      <c r="A202">
        <f t="shared" si="38"/>
        <v>792</v>
      </c>
      <c r="B202" s="3">
        <f t="shared" si="39"/>
        <v>198</v>
      </c>
      <c r="C202" s="3">
        <f t="shared" si="40"/>
        <v>-97</v>
      </c>
      <c r="D202" s="4">
        <f t="shared" si="37"/>
        <v>-2.6418797519152348</v>
      </c>
      <c r="E202" s="4" t="e">
        <f t="shared" si="41"/>
        <v>#DIV/0!</v>
      </c>
      <c r="F202" s="4">
        <f t="shared" si="42"/>
        <v>-1.7181840217971089</v>
      </c>
      <c r="G202" s="4" t="e">
        <f t="shared" si="43"/>
        <v>#DIV/0!</v>
      </c>
      <c r="H202" s="4">
        <f t="shared" si="44"/>
        <v>-2.5799606952297212</v>
      </c>
      <c r="I202" s="4" t="e">
        <f t="shared" si="45"/>
        <v>#DIV/0!</v>
      </c>
    </row>
    <row r="203" spans="1:9" x14ac:dyDescent="0.25">
      <c r="A203">
        <f t="shared" si="38"/>
        <v>796</v>
      </c>
      <c r="B203" s="3">
        <f t="shared" si="39"/>
        <v>199</v>
      </c>
      <c r="C203" s="3">
        <f t="shared" si="40"/>
        <v>-98</v>
      </c>
      <c r="D203" s="4">
        <f t="shared" si="37"/>
        <v>-2.6691156256463202</v>
      </c>
      <c r="E203" s="4" t="e">
        <f t="shared" si="41"/>
        <v>#DIV/0!</v>
      </c>
      <c r="F203" s="4">
        <f t="shared" si="42"/>
        <v>-1.7358972591352237</v>
      </c>
      <c r="G203" s="4" t="e">
        <f t="shared" si="43"/>
        <v>#DIV/0!</v>
      </c>
      <c r="H203" s="4">
        <f t="shared" si="44"/>
        <v>-2.606558228170234</v>
      </c>
      <c r="I203" s="4" t="e">
        <f t="shared" si="45"/>
        <v>#DIV/0!</v>
      </c>
    </row>
    <row r="204" spans="1:9" x14ac:dyDescent="0.25">
      <c r="A204">
        <f t="shared" si="38"/>
        <v>800</v>
      </c>
      <c r="B204" s="3">
        <f t="shared" si="39"/>
        <v>200</v>
      </c>
      <c r="C204" s="3">
        <f t="shared" si="40"/>
        <v>-99</v>
      </c>
      <c r="D204" s="4">
        <f t="shared" si="37"/>
        <v>-2.6963514993774047</v>
      </c>
      <c r="E204" s="4" t="e">
        <f t="shared" si="41"/>
        <v>#DIV/0!</v>
      </c>
      <c r="F204" s="4">
        <f t="shared" si="42"/>
        <v>-1.7536104964733381</v>
      </c>
      <c r="G204" s="4" t="e">
        <f t="shared" si="43"/>
        <v>#DIV/0!</v>
      </c>
      <c r="H204" s="4">
        <f t="shared" si="44"/>
        <v>-2.6331557611107463</v>
      </c>
      <c r="I204" s="4" t="e">
        <f t="shared" si="45"/>
        <v>#DIV/0!</v>
      </c>
    </row>
    <row r="205" spans="1:9" x14ac:dyDescent="0.25">
      <c r="A205">
        <f t="shared" si="38"/>
        <v>804</v>
      </c>
      <c r="B205" s="3">
        <f t="shared" si="39"/>
        <v>201</v>
      </c>
      <c r="C205" s="3">
        <f t="shared" si="40"/>
        <v>-100</v>
      </c>
      <c r="D205" s="4">
        <f t="shared" si="37"/>
        <v>-2.7235873731084892</v>
      </c>
      <c r="E205" s="4" t="e">
        <f t="shared" si="41"/>
        <v>#DIV/0!</v>
      </c>
      <c r="F205" s="4">
        <f t="shared" si="42"/>
        <v>-1.7713237338114525</v>
      </c>
      <c r="G205" s="4" t="e">
        <f t="shared" si="43"/>
        <v>#DIV/0!</v>
      </c>
      <c r="H205" s="4">
        <f t="shared" si="44"/>
        <v>-2.6597532940512596</v>
      </c>
      <c r="I205" s="4" t="e">
        <f t="shared" si="45"/>
        <v>#DIV/0!</v>
      </c>
    </row>
    <row r="206" spans="1:9" x14ac:dyDescent="0.25">
      <c r="A206">
        <f t="shared" si="38"/>
        <v>808</v>
      </c>
      <c r="B206" s="3">
        <f t="shared" si="39"/>
        <v>202</v>
      </c>
      <c r="C206" s="3">
        <f t="shared" si="40"/>
        <v>-101</v>
      </c>
      <c r="D206" s="4">
        <f t="shared" si="37"/>
        <v>-2.7508232468395746</v>
      </c>
      <c r="E206" s="4" t="e">
        <f t="shared" si="41"/>
        <v>#DIV/0!</v>
      </c>
      <c r="F206" s="4">
        <f t="shared" si="42"/>
        <v>-1.7890369711495671</v>
      </c>
      <c r="G206" s="4" t="e">
        <f t="shared" si="43"/>
        <v>#DIV/0!</v>
      </c>
      <c r="H206" s="4">
        <f t="shared" si="44"/>
        <v>-2.686350826991772</v>
      </c>
      <c r="I206" s="4" t="e">
        <f t="shared" si="45"/>
        <v>#DIV/0!</v>
      </c>
    </row>
    <row r="207" spans="1:9" x14ac:dyDescent="0.25">
      <c r="A207">
        <f t="shared" si="38"/>
        <v>812</v>
      </c>
      <c r="B207" s="3">
        <f t="shared" si="39"/>
        <v>203</v>
      </c>
      <c r="C207" s="3">
        <f t="shared" si="40"/>
        <v>-102</v>
      </c>
      <c r="D207" s="4">
        <f t="shared" si="37"/>
        <v>-2.7780591205706595</v>
      </c>
      <c r="E207" s="4" t="e">
        <f t="shared" si="41"/>
        <v>#DIV/0!</v>
      </c>
      <c r="F207" s="4">
        <f t="shared" si="42"/>
        <v>-1.8067502084876816</v>
      </c>
      <c r="G207" s="4" t="e">
        <f t="shared" si="43"/>
        <v>#DIV/0!</v>
      </c>
      <c r="H207" s="4">
        <f t="shared" si="44"/>
        <v>-2.7129483599322843</v>
      </c>
      <c r="I207" s="4" t="e">
        <f t="shared" si="45"/>
        <v>#DIV/0!</v>
      </c>
    </row>
    <row r="208" spans="1:9" x14ac:dyDescent="0.25">
      <c r="A208">
        <f t="shared" si="38"/>
        <v>816</v>
      </c>
      <c r="B208" s="3">
        <f t="shared" si="39"/>
        <v>204</v>
      </c>
      <c r="C208" s="3">
        <f t="shared" si="40"/>
        <v>-103</v>
      </c>
      <c r="D208" s="4">
        <f t="shared" si="37"/>
        <v>-2.8052949943017444</v>
      </c>
      <c r="E208" s="4" t="e">
        <f t="shared" si="41"/>
        <v>#DIV/0!</v>
      </c>
      <c r="F208" s="4">
        <f t="shared" si="42"/>
        <v>-1.8244634458257964</v>
      </c>
      <c r="G208" s="4" t="e">
        <f t="shared" si="43"/>
        <v>#DIV/0!</v>
      </c>
      <c r="H208" s="4">
        <f t="shared" si="44"/>
        <v>-2.7395458928727967</v>
      </c>
      <c r="I208" s="4" t="e">
        <f t="shared" si="45"/>
        <v>#DIV/0!</v>
      </c>
    </row>
    <row r="209" spans="1:9" x14ac:dyDescent="0.25">
      <c r="A209">
        <f t="shared" si="38"/>
        <v>820</v>
      </c>
      <c r="B209" s="3">
        <f t="shared" si="39"/>
        <v>205</v>
      </c>
      <c r="C209" s="3">
        <f t="shared" si="40"/>
        <v>-104</v>
      </c>
      <c r="D209" s="4">
        <f t="shared" si="37"/>
        <v>-2.8325308680328289</v>
      </c>
      <c r="E209" s="4" t="e">
        <f t="shared" si="41"/>
        <v>#DIV/0!</v>
      </c>
      <c r="F209" s="4">
        <f t="shared" si="42"/>
        <v>-1.8421766831639106</v>
      </c>
      <c r="G209" s="4" t="e">
        <f t="shared" si="43"/>
        <v>#DIV/0!</v>
      </c>
      <c r="H209" s="4">
        <f t="shared" si="44"/>
        <v>-2.76614342581331</v>
      </c>
      <c r="I209" s="4" t="e">
        <f t="shared" si="45"/>
        <v>#DIV/0!</v>
      </c>
    </row>
    <row r="210" spans="1:9" x14ac:dyDescent="0.25">
      <c r="A210">
        <f t="shared" si="38"/>
        <v>824</v>
      </c>
      <c r="B210" s="3">
        <f t="shared" si="39"/>
        <v>206</v>
      </c>
      <c r="C210" s="3">
        <f t="shared" si="40"/>
        <v>-105</v>
      </c>
      <c r="D210" s="4">
        <f t="shared" si="37"/>
        <v>-2.8597667417639143</v>
      </c>
      <c r="E210" s="4" t="e">
        <f t="shared" si="41"/>
        <v>#DIV/0!</v>
      </c>
      <c r="F210" s="4">
        <f t="shared" si="42"/>
        <v>-1.8598899205020254</v>
      </c>
      <c r="G210" s="4" t="e">
        <f t="shared" si="43"/>
        <v>#DIV/0!</v>
      </c>
      <c r="H210" s="4">
        <f t="shared" si="44"/>
        <v>-2.7927409587538223</v>
      </c>
      <c r="I210" s="4" t="e">
        <f t="shared" si="45"/>
        <v>#DIV/0!</v>
      </c>
    </row>
    <row r="211" spans="1:9" x14ac:dyDescent="0.25">
      <c r="A211">
        <f t="shared" si="38"/>
        <v>828</v>
      </c>
      <c r="B211" s="3">
        <f t="shared" si="39"/>
        <v>207</v>
      </c>
      <c r="C211" s="3">
        <f t="shared" si="40"/>
        <v>-106</v>
      </c>
      <c r="D211" s="4">
        <f t="shared" si="37"/>
        <v>-2.8870026154949988</v>
      </c>
      <c r="E211" s="4" t="e">
        <f t="shared" si="41"/>
        <v>#DIV/0!</v>
      </c>
      <c r="F211" s="4">
        <f t="shared" si="42"/>
        <v>-1.8776031578401398</v>
      </c>
      <c r="G211" s="4" t="e">
        <f t="shared" si="43"/>
        <v>#DIV/0!</v>
      </c>
      <c r="H211" s="4">
        <f t="shared" si="44"/>
        <v>-2.8193384916943347</v>
      </c>
      <c r="I211" s="4" t="e">
        <f t="shared" si="45"/>
        <v>#DIV/0!</v>
      </c>
    </row>
    <row r="212" spans="1:9" x14ac:dyDescent="0.25">
      <c r="A212">
        <f t="shared" si="38"/>
        <v>832</v>
      </c>
      <c r="B212" s="3">
        <f t="shared" si="39"/>
        <v>208</v>
      </c>
      <c r="C212" s="3">
        <f t="shared" si="40"/>
        <v>-107</v>
      </c>
      <c r="D212" s="4">
        <f t="shared" si="37"/>
        <v>-2.9142384892260842</v>
      </c>
      <c r="E212" s="4" t="e">
        <f t="shared" si="41"/>
        <v>#DIV/0!</v>
      </c>
      <c r="F212" s="4">
        <f t="shared" si="42"/>
        <v>-1.8953163951782546</v>
      </c>
      <c r="G212" s="4" t="e">
        <f t="shared" si="43"/>
        <v>#DIV/0!</v>
      </c>
      <c r="H212" s="4">
        <f t="shared" si="44"/>
        <v>-2.8459360246348471</v>
      </c>
      <c r="I212" s="4" t="e">
        <f t="shared" si="45"/>
        <v>#DIV/0!</v>
      </c>
    </row>
    <row r="213" spans="1:9" x14ac:dyDescent="0.25">
      <c r="A213">
        <f t="shared" si="38"/>
        <v>836</v>
      </c>
      <c r="B213" s="3">
        <f t="shared" si="39"/>
        <v>209</v>
      </c>
      <c r="C213" s="3">
        <f t="shared" si="40"/>
        <v>-108</v>
      </c>
      <c r="D213" s="4">
        <f t="shared" si="37"/>
        <v>-2.9414743629571687</v>
      </c>
      <c r="E213" s="4" t="e">
        <f t="shared" si="41"/>
        <v>#DIV/0!</v>
      </c>
      <c r="F213" s="4">
        <f t="shared" si="42"/>
        <v>-1.9130296325163687</v>
      </c>
      <c r="G213" s="4" t="e">
        <f t="shared" si="43"/>
        <v>#DIV/0!</v>
      </c>
      <c r="H213" s="4">
        <f t="shared" si="44"/>
        <v>-2.8725335575753603</v>
      </c>
      <c r="I213" s="4" t="e">
        <f t="shared" si="45"/>
        <v>#DIV/0!</v>
      </c>
    </row>
    <row r="214" spans="1:9" x14ac:dyDescent="0.25">
      <c r="A214">
        <f t="shared" si="38"/>
        <v>840</v>
      </c>
      <c r="B214" s="3">
        <f t="shared" si="39"/>
        <v>210</v>
      </c>
      <c r="C214" s="3">
        <f t="shared" si="40"/>
        <v>-109</v>
      </c>
      <c r="D214" s="4">
        <f t="shared" si="37"/>
        <v>-2.9687102366882536</v>
      </c>
      <c r="E214" s="4" t="e">
        <f t="shared" si="41"/>
        <v>#DIV/0!</v>
      </c>
      <c r="F214" s="4">
        <f t="shared" si="42"/>
        <v>-1.9307428698544835</v>
      </c>
      <c r="G214" s="4" t="e">
        <f t="shared" si="43"/>
        <v>#DIV/0!</v>
      </c>
      <c r="H214" s="4">
        <f t="shared" si="44"/>
        <v>-2.8991310905158727</v>
      </c>
      <c r="I214" s="4" t="e">
        <f t="shared" si="45"/>
        <v>#DIV/0!</v>
      </c>
    </row>
    <row r="215" spans="1:9" x14ac:dyDescent="0.25">
      <c r="A215">
        <f t="shared" si="38"/>
        <v>844</v>
      </c>
      <c r="B215" s="3">
        <f t="shared" si="39"/>
        <v>211</v>
      </c>
      <c r="C215" s="3">
        <f t="shared" si="40"/>
        <v>-110</v>
      </c>
      <c r="D215" s="4">
        <f t="shared" si="37"/>
        <v>-2.9959461104193381</v>
      </c>
      <c r="E215" s="4" t="e">
        <f t="shared" si="41"/>
        <v>#DIV/0!</v>
      </c>
      <c r="F215" s="4">
        <f t="shared" si="42"/>
        <v>-1.9484561071925977</v>
      </c>
      <c r="G215" s="4" t="e">
        <f t="shared" si="43"/>
        <v>#DIV/0!</v>
      </c>
      <c r="H215" s="4">
        <f t="shared" si="44"/>
        <v>-2.9257286234563855</v>
      </c>
      <c r="I215" s="4" t="e">
        <f t="shared" si="45"/>
        <v>#DIV/0!</v>
      </c>
    </row>
    <row r="216" spans="1:9" x14ac:dyDescent="0.25">
      <c r="A216">
        <f t="shared" si="38"/>
        <v>848</v>
      </c>
      <c r="B216" s="3">
        <f t="shared" si="39"/>
        <v>212</v>
      </c>
      <c r="C216" s="3">
        <f t="shared" si="40"/>
        <v>-111</v>
      </c>
      <c r="D216" s="4">
        <f t="shared" si="37"/>
        <v>-3.0231819841504235</v>
      </c>
      <c r="E216" s="4" t="e">
        <f t="shared" si="41"/>
        <v>#DIV/0!</v>
      </c>
      <c r="F216" s="4">
        <f t="shared" si="42"/>
        <v>-1.9661693445307125</v>
      </c>
      <c r="G216" s="4" t="e">
        <f t="shared" si="43"/>
        <v>#DIV/0!</v>
      </c>
      <c r="H216" s="4">
        <f t="shared" si="44"/>
        <v>-2.9523261563968974</v>
      </c>
      <c r="I216" s="4" t="e">
        <f t="shared" si="45"/>
        <v>#DIV/0!</v>
      </c>
    </row>
    <row r="217" spans="1:9" x14ac:dyDescent="0.25">
      <c r="A217">
        <f t="shared" si="38"/>
        <v>852</v>
      </c>
      <c r="B217" s="3">
        <f t="shared" si="39"/>
        <v>213</v>
      </c>
      <c r="C217" s="3">
        <f t="shared" si="40"/>
        <v>-112</v>
      </c>
      <c r="D217" s="4">
        <f t="shared" si="37"/>
        <v>-3.0504178578815084</v>
      </c>
      <c r="E217" s="4" t="e">
        <f t="shared" si="41"/>
        <v>#DIV/0!</v>
      </c>
      <c r="F217" s="4">
        <f t="shared" si="42"/>
        <v>-1.983882581868827</v>
      </c>
      <c r="G217" s="4" t="e">
        <f t="shared" si="43"/>
        <v>#DIV/0!</v>
      </c>
      <c r="H217" s="4">
        <f t="shared" si="44"/>
        <v>-2.9789236893374103</v>
      </c>
      <c r="I217" s="4" t="e">
        <f t="shared" si="45"/>
        <v>#DIV/0!</v>
      </c>
    </row>
    <row r="218" spans="1:9" x14ac:dyDescent="0.25">
      <c r="A218">
        <f t="shared" si="38"/>
        <v>856</v>
      </c>
      <c r="B218" s="3">
        <f t="shared" si="39"/>
        <v>214</v>
      </c>
      <c r="C218" s="3">
        <f t="shared" si="40"/>
        <v>-113</v>
      </c>
      <c r="D218" s="4">
        <f t="shared" si="37"/>
        <v>-3.0776537316125929</v>
      </c>
      <c r="E218" s="4" t="e">
        <f t="shared" si="41"/>
        <v>#DIV/0!</v>
      </c>
      <c r="F218" s="4">
        <f t="shared" si="42"/>
        <v>-2.0015958192069414</v>
      </c>
      <c r="G218" s="4" t="e">
        <f t="shared" si="43"/>
        <v>#DIV/0!</v>
      </c>
      <c r="H218" s="4">
        <f t="shared" si="44"/>
        <v>-3.0055212222779231</v>
      </c>
      <c r="I218" s="4" t="e">
        <f t="shared" si="45"/>
        <v>#DIV/0!</v>
      </c>
    </row>
    <row r="219" spans="1:9" x14ac:dyDescent="0.25">
      <c r="A219">
        <f t="shared" si="38"/>
        <v>860</v>
      </c>
      <c r="B219" s="3">
        <f t="shared" si="39"/>
        <v>215</v>
      </c>
      <c r="C219" s="3">
        <f t="shared" si="40"/>
        <v>-114</v>
      </c>
      <c r="D219" s="4">
        <f t="shared" si="37"/>
        <v>-3.1048896053436783</v>
      </c>
      <c r="E219" s="4" t="e">
        <f t="shared" si="41"/>
        <v>#DIV/0!</v>
      </c>
      <c r="F219" s="4">
        <f t="shared" si="42"/>
        <v>-2.019309056545056</v>
      </c>
      <c r="G219" s="4" t="e">
        <f t="shared" si="43"/>
        <v>#DIV/0!</v>
      </c>
      <c r="H219" s="4">
        <f t="shared" si="44"/>
        <v>-3.0321187552184359</v>
      </c>
      <c r="I219" s="4" t="e">
        <f t="shared" si="45"/>
        <v>#DIV/0!</v>
      </c>
    </row>
    <row r="220" spans="1:9" x14ac:dyDescent="0.25">
      <c r="A220">
        <f t="shared" si="38"/>
        <v>864</v>
      </c>
      <c r="B220" s="3">
        <f t="shared" si="39"/>
        <v>216</v>
      </c>
      <c r="C220" s="3">
        <f t="shared" si="40"/>
        <v>-115</v>
      </c>
      <c r="D220" s="4">
        <f t="shared" si="37"/>
        <v>-3.1321254790747628</v>
      </c>
      <c r="E220" s="4" t="e">
        <f t="shared" si="41"/>
        <v>#DIV/0!</v>
      </c>
      <c r="F220" s="4">
        <f t="shared" si="42"/>
        <v>-2.0370222938831701</v>
      </c>
      <c r="G220" s="4" t="e">
        <f t="shared" si="43"/>
        <v>#DIV/0!</v>
      </c>
      <c r="H220" s="4">
        <f t="shared" si="44"/>
        <v>-3.0587162881589478</v>
      </c>
      <c r="I220" s="4" t="e">
        <f t="shared" si="45"/>
        <v>#DIV/0!</v>
      </c>
    </row>
    <row r="221" spans="1:9" x14ac:dyDescent="0.25">
      <c r="A221">
        <f t="shared" si="38"/>
        <v>868</v>
      </c>
      <c r="B221" s="3">
        <f t="shared" si="39"/>
        <v>217</v>
      </c>
      <c r="C221" s="3">
        <f t="shared" si="40"/>
        <v>-116</v>
      </c>
      <c r="D221" s="4">
        <f t="shared" si="37"/>
        <v>-3.1593613528058477</v>
      </c>
      <c r="E221" s="4" t="e">
        <f t="shared" si="41"/>
        <v>#DIV/0!</v>
      </c>
      <c r="F221" s="4">
        <f t="shared" si="42"/>
        <v>-2.0547355312212852</v>
      </c>
      <c r="G221" s="4" t="e">
        <f t="shared" si="43"/>
        <v>#DIV/0!</v>
      </c>
      <c r="H221" s="4">
        <f t="shared" si="44"/>
        <v>-3.0853138210994606</v>
      </c>
      <c r="I221" s="4" t="e">
        <f t="shared" si="45"/>
        <v>#DIV/0!</v>
      </c>
    </row>
    <row r="222" spans="1:9" x14ac:dyDescent="0.25">
      <c r="A222">
        <f t="shared" si="38"/>
        <v>872</v>
      </c>
      <c r="B222" s="3">
        <f t="shared" si="39"/>
        <v>218</v>
      </c>
      <c r="C222" s="3">
        <f t="shared" si="40"/>
        <v>-117</v>
      </c>
      <c r="D222" s="4">
        <f t="shared" ref="D222:D260" si="46">C222/7.48/3600/((0.25/12)^2*3.1415)</f>
        <v>-3.1865972265369331</v>
      </c>
      <c r="E222" s="4" t="e">
        <f t="shared" si="41"/>
        <v>#DIV/0!</v>
      </c>
      <c r="F222" s="4">
        <f t="shared" si="42"/>
        <v>-2.0724487685593997</v>
      </c>
      <c r="G222" s="4" t="e">
        <f t="shared" si="43"/>
        <v>#DIV/0!</v>
      </c>
      <c r="H222" s="4">
        <f t="shared" si="44"/>
        <v>-3.1119113540399734</v>
      </c>
      <c r="I222" s="4" t="e">
        <f t="shared" si="45"/>
        <v>#DIV/0!</v>
      </c>
    </row>
    <row r="223" spans="1:9" x14ac:dyDescent="0.25">
      <c r="A223">
        <f t="shared" si="38"/>
        <v>876</v>
      </c>
      <c r="B223" s="3">
        <f t="shared" si="39"/>
        <v>219</v>
      </c>
      <c r="C223" s="3">
        <f t="shared" si="40"/>
        <v>-118</v>
      </c>
      <c r="D223" s="4">
        <f t="shared" si="46"/>
        <v>-3.2138331002680176</v>
      </c>
      <c r="E223" s="4" t="e">
        <f t="shared" si="41"/>
        <v>#DIV/0!</v>
      </c>
      <c r="F223" s="4">
        <f t="shared" si="42"/>
        <v>-2.0901620058975139</v>
      </c>
      <c r="G223" s="4" t="e">
        <f t="shared" si="43"/>
        <v>#DIV/0!</v>
      </c>
      <c r="H223" s="4">
        <f t="shared" si="44"/>
        <v>-3.1385088869804862</v>
      </c>
      <c r="I223" s="4" t="e">
        <f t="shared" si="45"/>
        <v>#DIV/0!</v>
      </c>
    </row>
    <row r="224" spans="1:9" x14ac:dyDescent="0.25">
      <c r="A224">
        <f t="shared" si="38"/>
        <v>880</v>
      </c>
      <c r="B224" s="3">
        <f t="shared" si="39"/>
        <v>220</v>
      </c>
      <c r="C224" s="3">
        <f t="shared" si="40"/>
        <v>-119</v>
      </c>
      <c r="D224" s="4">
        <f t="shared" si="46"/>
        <v>-3.2410689739991025</v>
      </c>
      <c r="E224" s="4" t="e">
        <f t="shared" si="41"/>
        <v>#DIV/0!</v>
      </c>
      <c r="F224" s="4">
        <f t="shared" si="42"/>
        <v>-2.1078752432356289</v>
      </c>
      <c r="G224" s="4" t="e">
        <f t="shared" si="43"/>
        <v>#DIV/0!</v>
      </c>
      <c r="H224" s="4">
        <f t="shared" si="44"/>
        <v>-3.1651064199209986</v>
      </c>
      <c r="I224" s="4" t="e">
        <f t="shared" si="45"/>
        <v>#DIV/0!</v>
      </c>
    </row>
    <row r="225" spans="1:9" x14ac:dyDescent="0.25">
      <c r="A225">
        <f t="shared" si="38"/>
        <v>884</v>
      </c>
      <c r="B225" s="3">
        <f t="shared" si="39"/>
        <v>221</v>
      </c>
      <c r="C225" s="3">
        <f t="shared" si="40"/>
        <v>-120</v>
      </c>
      <c r="D225" s="4">
        <f t="shared" si="46"/>
        <v>-3.2683048477301879</v>
      </c>
      <c r="E225" s="4" t="e">
        <f t="shared" si="41"/>
        <v>#DIV/0!</v>
      </c>
      <c r="F225" s="4">
        <f t="shared" si="42"/>
        <v>-2.1255884805737435</v>
      </c>
      <c r="G225" s="4" t="e">
        <f t="shared" si="43"/>
        <v>#DIV/0!</v>
      </c>
      <c r="H225" s="4">
        <f t="shared" si="44"/>
        <v>-3.191703952861511</v>
      </c>
      <c r="I225" s="4" t="e">
        <f t="shared" si="45"/>
        <v>#DIV/0!</v>
      </c>
    </row>
    <row r="226" spans="1:9" x14ac:dyDescent="0.25">
      <c r="A226">
        <f t="shared" si="38"/>
        <v>888</v>
      </c>
      <c r="B226" s="3">
        <f t="shared" si="39"/>
        <v>222</v>
      </c>
      <c r="C226" s="3">
        <f t="shared" si="40"/>
        <v>-121</v>
      </c>
      <c r="D226" s="4">
        <f t="shared" si="46"/>
        <v>-3.2955407214612724</v>
      </c>
      <c r="E226" s="4" t="e">
        <f t="shared" si="41"/>
        <v>#DIV/0!</v>
      </c>
      <c r="F226" s="4">
        <f t="shared" si="42"/>
        <v>-2.1433017179118576</v>
      </c>
      <c r="G226" s="4" t="e">
        <f t="shared" si="43"/>
        <v>#DIV/0!</v>
      </c>
      <c r="H226" s="4">
        <f t="shared" si="44"/>
        <v>-3.2183014858020234</v>
      </c>
      <c r="I226" s="4" t="e">
        <f t="shared" si="45"/>
        <v>#DIV/0!</v>
      </c>
    </row>
    <row r="227" spans="1:9" x14ac:dyDescent="0.25">
      <c r="A227">
        <f t="shared" ref="A227:A260" si="47">A226+4</f>
        <v>892</v>
      </c>
      <c r="B227" s="3">
        <f t="shared" ref="B227:B260" si="48">B226+1</f>
        <v>223</v>
      </c>
      <c r="C227" s="3">
        <f t="shared" ref="C227:C260" si="49">C226-1</f>
        <v>-122</v>
      </c>
      <c r="D227" s="4">
        <f t="shared" si="46"/>
        <v>-3.3227765951923574</v>
      </c>
      <c r="E227" s="4" t="e">
        <f t="shared" ref="E227:E260" si="50">4/D227/60+E226</f>
        <v>#DIV/0!</v>
      </c>
      <c r="F227" s="4">
        <f t="shared" ref="F227:F260" si="51">C227/7.48/3600/((0.31/12)^2*3.1415)</f>
        <v>-2.1610149552499722</v>
      </c>
      <c r="G227" s="4" t="e">
        <f t="shared" ref="G227:G260" si="52">4/F227/60+G226</f>
        <v>#DIV/0!</v>
      </c>
      <c r="H227" s="4">
        <f t="shared" ref="H227:H260" si="53">C227*2.5/7.48/3600/((0.4/12)^2*3.1415)</f>
        <v>-3.2448990187425366</v>
      </c>
      <c r="I227" s="4" t="e">
        <f t="shared" ref="I227:I260" si="54">4/H227/60+I226</f>
        <v>#DIV/0!</v>
      </c>
    </row>
    <row r="228" spans="1:9" x14ac:dyDescent="0.25">
      <c r="A228">
        <f t="shared" si="47"/>
        <v>896</v>
      </c>
      <c r="B228" s="3">
        <f t="shared" si="48"/>
        <v>224</v>
      </c>
      <c r="C228" s="3">
        <f t="shared" si="49"/>
        <v>-123</v>
      </c>
      <c r="D228" s="4">
        <f t="shared" si="46"/>
        <v>-3.3500124689234418</v>
      </c>
      <c r="E228" s="4" t="e">
        <f t="shared" si="50"/>
        <v>#DIV/0!</v>
      </c>
      <c r="F228" s="4">
        <f t="shared" si="51"/>
        <v>-2.1787281925880868</v>
      </c>
      <c r="G228" s="4" t="e">
        <f t="shared" si="52"/>
        <v>#DIV/0!</v>
      </c>
      <c r="H228" s="4">
        <f t="shared" si="53"/>
        <v>-3.271496551683049</v>
      </c>
      <c r="I228" s="4" t="e">
        <f t="shared" si="54"/>
        <v>#DIV/0!</v>
      </c>
    </row>
    <row r="229" spans="1:9" x14ac:dyDescent="0.25">
      <c r="A229">
        <f t="shared" si="47"/>
        <v>900</v>
      </c>
      <c r="B229" s="3">
        <f t="shared" si="48"/>
        <v>225</v>
      </c>
      <c r="C229" s="3">
        <f t="shared" si="49"/>
        <v>-124</v>
      </c>
      <c r="D229" s="4">
        <f t="shared" si="46"/>
        <v>-3.3772483426545272</v>
      </c>
      <c r="E229" s="4" t="e">
        <f t="shared" si="50"/>
        <v>#DIV/0!</v>
      </c>
      <c r="F229" s="4">
        <f t="shared" si="51"/>
        <v>-2.1964414299262014</v>
      </c>
      <c r="G229" s="4" t="e">
        <f t="shared" si="52"/>
        <v>#DIV/0!</v>
      </c>
      <c r="H229" s="4">
        <f t="shared" si="53"/>
        <v>-3.2980940846235614</v>
      </c>
      <c r="I229" s="4" t="e">
        <f t="shared" si="54"/>
        <v>#DIV/0!</v>
      </c>
    </row>
    <row r="230" spans="1:9" x14ac:dyDescent="0.25">
      <c r="A230">
        <f t="shared" si="47"/>
        <v>904</v>
      </c>
      <c r="B230" s="3">
        <f t="shared" si="48"/>
        <v>226</v>
      </c>
      <c r="C230" s="3">
        <f t="shared" si="49"/>
        <v>-125</v>
      </c>
      <c r="D230" s="4">
        <f t="shared" si="46"/>
        <v>-3.4044842163856122</v>
      </c>
      <c r="E230" s="4" t="e">
        <f t="shared" si="50"/>
        <v>#DIV/0!</v>
      </c>
      <c r="F230" s="4">
        <f t="shared" si="51"/>
        <v>-2.214154667264316</v>
      </c>
      <c r="G230" s="4" t="e">
        <f t="shared" si="52"/>
        <v>#DIV/0!</v>
      </c>
      <c r="H230" s="4">
        <f t="shared" si="53"/>
        <v>-3.3246916175640737</v>
      </c>
      <c r="I230" s="4" t="e">
        <f t="shared" si="54"/>
        <v>#DIV/0!</v>
      </c>
    </row>
    <row r="231" spans="1:9" x14ac:dyDescent="0.25">
      <c r="A231">
        <f t="shared" si="47"/>
        <v>908</v>
      </c>
      <c r="B231" s="3">
        <f t="shared" si="48"/>
        <v>227</v>
      </c>
      <c r="C231" s="3">
        <f t="shared" si="49"/>
        <v>-126</v>
      </c>
      <c r="D231" s="4">
        <f t="shared" si="46"/>
        <v>-3.4317200901166967</v>
      </c>
      <c r="E231" s="4" t="e">
        <f t="shared" si="50"/>
        <v>#DIV/0!</v>
      </c>
      <c r="F231" s="4">
        <f t="shared" si="51"/>
        <v>-2.2318679046024301</v>
      </c>
      <c r="G231" s="4" t="e">
        <f t="shared" si="52"/>
        <v>#DIV/0!</v>
      </c>
      <c r="H231" s="4">
        <f t="shared" si="53"/>
        <v>-3.351289150504587</v>
      </c>
      <c r="I231" s="4" t="e">
        <f t="shared" si="54"/>
        <v>#DIV/0!</v>
      </c>
    </row>
    <row r="232" spans="1:9" x14ac:dyDescent="0.25">
      <c r="A232">
        <f t="shared" si="47"/>
        <v>912</v>
      </c>
      <c r="B232" s="3">
        <f t="shared" si="48"/>
        <v>228</v>
      </c>
      <c r="C232" s="3">
        <f t="shared" si="49"/>
        <v>-127</v>
      </c>
      <c r="D232" s="4">
        <f t="shared" si="46"/>
        <v>-3.4589559638477811</v>
      </c>
      <c r="E232" s="4" t="e">
        <f t="shared" si="50"/>
        <v>#DIV/0!</v>
      </c>
      <c r="F232" s="4">
        <f t="shared" si="51"/>
        <v>-2.2495811419405447</v>
      </c>
      <c r="G232" s="4" t="e">
        <f t="shared" si="52"/>
        <v>#DIV/0!</v>
      </c>
      <c r="H232" s="4">
        <f t="shared" si="53"/>
        <v>-3.3778866834450993</v>
      </c>
      <c r="I232" s="4" t="e">
        <f t="shared" si="54"/>
        <v>#DIV/0!</v>
      </c>
    </row>
    <row r="233" spans="1:9" x14ac:dyDescent="0.25">
      <c r="A233">
        <f t="shared" si="47"/>
        <v>916</v>
      </c>
      <c r="B233" s="3">
        <f t="shared" si="48"/>
        <v>229</v>
      </c>
      <c r="C233" s="3">
        <f t="shared" si="49"/>
        <v>-128</v>
      </c>
      <c r="D233" s="4">
        <f t="shared" si="46"/>
        <v>-3.4861918375788665</v>
      </c>
      <c r="E233" s="4" t="e">
        <f t="shared" si="50"/>
        <v>#DIV/0!</v>
      </c>
      <c r="F233" s="4">
        <f t="shared" si="51"/>
        <v>-2.2672943792786593</v>
      </c>
      <c r="G233" s="4" t="e">
        <f t="shared" si="52"/>
        <v>#DIV/0!</v>
      </c>
      <c r="H233" s="4">
        <f t="shared" si="53"/>
        <v>-3.4044842163856122</v>
      </c>
      <c r="I233" s="4" t="e">
        <f t="shared" si="54"/>
        <v>#DIV/0!</v>
      </c>
    </row>
    <row r="234" spans="1:9" x14ac:dyDescent="0.25">
      <c r="A234">
        <f t="shared" si="47"/>
        <v>920</v>
      </c>
      <c r="B234" s="3">
        <f t="shared" si="48"/>
        <v>230</v>
      </c>
      <c r="C234" s="3">
        <f t="shared" si="49"/>
        <v>-129</v>
      </c>
      <c r="D234" s="4">
        <f t="shared" si="46"/>
        <v>-3.5134277113099515</v>
      </c>
      <c r="E234" s="4" t="e">
        <f t="shared" si="50"/>
        <v>#DIV/0!</v>
      </c>
      <c r="F234" s="4">
        <f t="shared" si="51"/>
        <v>-2.2850076166167739</v>
      </c>
      <c r="G234" s="4" t="e">
        <f t="shared" si="52"/>
        <v>#DIV/0!</v>
      </c>
      <c r="H234" s="4">
        <f t="shared" si="53"/>
        <v>-3.4310817493261241</v>
      </c>
      <c r="I234" s="4" t="e">
        <f t="shared" si="54"/>
        <v>#DIV/0!</v>
      </c>
    </row>
    <row r="235" spans="1:9" x14ac:dyDescent="0.25">
      <c r="A235">
        <f t="shared" si="47"/>
        <v>924</v>
      </c>
      <c r="B235" s="3">
        <f t="shared" si="48"/>
        <v>231</v>
      </c>
      <c r="C235" s="3">
        <f t="shared" si="49"/>
        <v>-130</v>
      </c>
      <c r="D235" s="4">
        <f t="shared" si="46"/>
        <v>-3.5406635850410368</v>
      </c>
      <c r="E235" s="4" t="e">
        <f t="shared" si="50"/>
        <v>#DIV/0!</v>
      </c>
      <c r="F235" s="4">
        <f t="shared" si="51"/>
        <v>-2.3027208539548885</v>
      </c>
      <c r="G235" s="4" t="e">
        <f t="shared" si="52"/>
        <v>#DIV/0!</v>
      </c>
      <c r="H235" s="4">
        <f t="shared" si="53"/>
        <v>-3.4576792822666373</v>
      </c>
      <c r="I235" s="4" t="e">
        <f t="shared" si="54"/>
        <v>#DIV/0!</v>
      </c>
    </row>
    <row r="236" spans="1:9" x14ac:dyDescent="0.25">
      <c r="A236">
        <f t="shared" si="47"/>
        <v>928</v>
      </c>
      <c r="B236" s="3">
        <f t="shared" si="48"/>
        <v>232</v>
      </c>
      <c r="C236" s="3">
        <f t="shared" si="49"/>
        <v>-131</v>
      </c>
      <c r="D236" s="4">
        <f t="shared" si="46"/>
        <v>-3.5678994587721213</v>
      </c>
      <c r="E236" s="4" t="e">
        <f t="shared" si="50"/>
        <v>#DIV/0!</v>
      </c>
      <c r="F236" s="4">
        <f t="shared" si="51"/>
        <v>-2.320434091293003</v>
      </c>
      <c r="G236" s="4" t="e">
        <f t="shared" si="52"/>
        <v>#DIV/0!</v>
      </c>
      <c r="H236" s="4">
        <f t="shared" si="53"/>
        <v>-3.4842768152071497</v>
      </c>
      <c r="I236" s="4" t="e">
        <f t="shared" si="54"/>
        <v>#DIV/0!</v>
      </c>
    </row>
    <row r="237" spans="1:9" x14ac:dyDescent="0.25">
      <c r="A237">
        <f t="shared" si="47"/>
        <v>932</v>
      </c>
      <c r="B237" s="3">
        <f t="shared" si="48"/>
        <v>233</v>
      </c>
      <c r="C237" s="3">
        <f t="shared" si="49"/>
        <v>-132</v>
      </c>
      <c r="D237" s="4">
        <f t="shared" si="46"/>
        <v>-3.5951353325032058</v>
      </c>
      <c r="E237" s="4" t="e">
        <f t="shared" si="50"/>
        <v>#DIV/0!</v>
      </c>
      <c r="F237" s="4">
        <f t="shared" si="51"/>
        <v>-2.3381473286311172</v>
      </c>
      <c r="G237" s="4" t="e">
        <f t="shared" si="52"/>
        <v>#DIV/0!</v>
      </c>
      <c r="H237" s="4">
        <f t="shared" si="53"/>
        <v>-3.5108743481476625</v>
      </c>
      <c r="I237" s="4" t="e">
        <f t="shared" si="54"/>
        <v>#DIV/0!</v>
      </c>
    </row>
    <row r="238" spans="1:9" x14ac:dyDescent="0.25">
      <c r="A238">
        <f t="shared" si="47"/>
        <v>936</v>
      </c>
      <c r="B238" s="3">
        <f t="shared" si="48"/>
        <v>234</v>
      </c>
      <c r="C238" s="3">
        <f t="shared" si="49"/>
        <v>-133</v>
      </c>
      <c r="D238" s="4">
        <f t="shared" si="46"/>
        <v>-3.6223712062342917</v>
      </c>
      <c r="E238" s="4" t="e">
        <f t="shared" si="50"/>
        <v>#DIV/0!</v>
      </c>
      <c r="F238" s="4">
        <f t="shared" si="51"/>
        <v>-2.3558605659692322</v>
      </c>
      <c r="G238" s="4" t="e">
        <f t="shared" si="52"/>
        <v>#DIV/0!</v>
      </c>
      <c r="H238" s="4">
        <f t="shared" si="53"/>
        <v>-3.5374718810881745</v>
      </c>
      <c r="I238" s="4" t="e">
        <f t="shared" si="54"/>
        <v>#DIV/0!</v>
      </c>
    </row>
    <row r="239" spans="1:9" x14ac:dyDescent="0.25">
      <c r="A239">
        <f t="shared" si="47"/>
        <v>940</v>
      </c>
      <c r="B239" s="3">
        <f t="shared" si="48"/>
        <v>235</v>
      </c>
      <c r="C239" s="3">
        <f t="shared" si="49"/>
        <v>-134</v>
      </c>
      <c r="D239" s="4">
        <f t="shared" si="46"/>
        <v>-3.6496070799653761</v>
      </c>
      <c r="E239" s="4" t="e">
        <f t="shared" si="50"/>
        <v>#DIV/0!</v>
      </c>
      <c r="F239" s="4">
        <f t="shared" si="51"/>
        <v>-2.3735738033073464</v>
      </c>
      <c r="G239" s="4" t="e">
        <f t="shared" si="52"/>
        <v>#DIV/0!</v>
      </c>
      <c r="H239" s="4">
        <f t="shared" si="53"/>
        <v>-3.5640694140286873</v>
      </c>
      <c r="I239" s="4" t="e">
        <f t="shared" si="54"/>
        <v>#DIV/0!</v>
      </c>
    </row>
    <row r="240" spans="1:9" x14ac:dyDescent="0.25">
      <c r="A240">
        <f t="shared" si="47"/>
        <v>944</v>
      </c>
      <c r="B240" s="3">
        <f t="shared" si="48"/>
        <v>236</v>
      </c>
      <c r="C240" s="3">
        <f t="shared" si="49"/>
        <v>-135</v>
      </c>
      <c r="D240" s="4">
        <f t="shared" si="46"/>
        <v>-3.6768429536964611</v>
      </c>
      <c r="E240" s="4" t="e">
        <f t="shared" si="50"/>
        <v>#DIV/0!</v>
      </c>
      <c r="F240" s="4">
        <f t="shared" si="51"/>
        <v>-2.3912870406454614</v>
      </c>
      <c r="G240" s="4" t="e">
        <f t="shared" si="52"/>
        <v>#DIV/0!</v>
      </c>
      <c r="H240" s="4">
        <f t="shared" si="53"/>
        <v>-3.5906669469692001</v>
      </c>
      <c r="I240" s="4" t="e">
        <f t="shared" si="54"/>
        <v>#DIV/0!</v>
      </c>
    </row>
    <row r="241" spans="1:9" x14ac:dyDescent="0.25">
      <c r="A241">
        <f t="shared" si="47"/>
        <v>948</v>
      </c>
      <c r="B241" s="3">
        <f t="shared" si="48"/>
        <v>237</v>
      </c>
      <c r="C241" s="3">
        <f t="shared" si="49"/>
        <v>-136</v>
      </c>
      <c r="D241" s="4">
        <f t="shared" si="46"/>
        <v>-3.7040788274275456</v>
      </c>
      <c r="E241" s="4" t="e">
        <f t="shared" si="50"/>
        <v>#DIV/0!</v>
      </c>
      <c r="F241" s="4">
        <f t="shared" si="51"/>
        <v>-2.4090002779835755</v>
      </c>
      <c r="G241" s="4" t="e">
        <f t="shared" si="52"/>
        <v>#DIV/0!</v>
      </c>
      <c r="H241" s="4">
        <f t="shared" si="53"/>
        <v>-3.6172644799097129</v>
      </c>
      <c r="I241" s="4" t="e">
        <f t="shared" si="54"/>
        <v>#DIV/0!</v>
      </c>
    </row>
    <row r="242" spans="1:9" x14ac:dyDescent="0.25">
      <c r="A242">
        <f t="shared" si="47"/>
        <v>952</v>
      </c>
      <c r="B242" s="3">
        <f t="shared" si="48"/>
        <v>238</v>
      </c>
      <c r="C242" s="3">
        <f t="shared" si="49"/>
        <v>-137</v>
      </c>
      <c r="D242" s="4">
        <f t="shared" si="46"/>
        <v>-3.7313147011586305</v>
      </c>
      <c r="E242" s="4" t="e">
        <f t="shared" si="50"/>
        <v>#DIV/0!</v>
      </c>
      <c r="F242" s="4">
        <f t="shared" si="51"/>
        <v>-2.4267135153216897</v>
      </c>
      <c r="G242" s="4" t="e">
        <f t="shared" si="52"/>
        <v>#DIV/0!</v>
      </c>
      <c r="H242" s="4">
        <f t="shared" si="53"/>
        <v>-3.6438620128502253</v>
      </c>
      <c r="I242" s="4" t="e">
        <f t="shared" si="54"/>
        <v>#DIV/0!</v>
      </c>
    </row>
    <row r="243" spans="1:9" x14ac:dyDescent="0.25">
      <c r="A243">
        <f t="shared" si="47"/>
        <v>956</v>
      </c>
      <c r="B243" s="3">
        <f t="shared" si="48"/>
        <v>239</v>
      </c>
      <c r="C243" s="3">
        <f t="shared" si="49"/>
        <v>-138</v>
      </c>
      <c r="D243" s="4">
        <f t="shared" si="46"/>
        <v>-3.7585505748897159</v>
      </c>
      <c r="E243" s="4" t="e">
        <f t="shared" si="50"/>
        <v>#DIV/0!</v>
      </c>
      <c r="F243" s="4">
        <f t="shared" si="51"/>
        <v>-2.4444267526598047</v>
      </c>
      <c r="G243" s="4" t="e">
        <f t="shared" si="52"/>
        <v>#DIV/0!</v>
      </c>
      <c r="H243" s="4">
        <f t="shared" si="53"/>
        <v>-3.6704595457907376</v>
      </c>
      <c r="I243" s="4" t="e">
        <f t="shared" si="54"/>
        <v>#DIV/0!</v>
      </c>
    </row>
    <row r="244" spans="1:9" x14ac:dyDescent="0.25">
      <c r="A244">
        <f t="shared" si="47"/>
        <v>960</v>
      </c>
      <c r="B244" s="3">
        <f t="shared" si="48"/>
        <v>240</v>
      </c>
      <c r="C244" s="3">
        <f t="shared" si="49"/>
        <v>-139</v>
      </c>
      <c r="D244" s="4">
        <f t="shared" si="46"/>
        <v>-3.7857864486208004</v>
      </c>
      <c r="E244" s="4" t="e">
        <f t="shared" si="50"/>
        <v>#DIV/0!</v>
      </c>
      <c r="F244" s="4">
        <f t="shared" si="51"/>
        <v>-2.4621399899979193</v>
      </c>
      <c r="G244" s="4" t="e">
        <f t="shared" si="52"/>
        <v>#DIV/0!</v>
      </c>
      <c r="H244" s="4">
        <f t="shared" si="53"/>
        <v>-3.6970570787312504</v>
      </c>
      <c r="I244" s="4" t="e">
        <f t="shared" si="54"/>
        <v>#DIV/0!</v>
      </c>
    </row>
    <row r="245" spans="1:9" x14ac:dyDescent="0.25">
      <c r="A245">
        <f t="shared" si="47"/>
        <v>964</v>
      </c>
      <c r="B245" s="3">
        <f t="shared" si="48"/>
        <v>241</v>
      </c>
      <c r="C245" s="3">
        <f t="shared" si="49"/>
        <v>-140</v>
      </c>
      <c r="D245" s="4">
        <f t="shared" si="46"/>
        <v>-3.8130223223518853</v>
      </c>
      <c r="E245" s="4" t="e">
        <f t="shared" si="50"/>
        <v>#DIV/0!</v>
      </c>
      <c r="F245" s="4">
        <f t="shared" si="51"/>
        <v>-2.4798532273360334</v>
      </c>
      <c r="G245" s="4" t="e">
        <f t="shared" si="52"/>
        <v>#DIV/0!</v>
      </c>
      <c r="H245" s="4">
        <f t="shared" si="53"/>
        <v>-3.7236546116717633</v>
      </c>
      <c r="I245" s="4" t="e">
        <f t="shared" si="54"/>
        <v>#DIV/0!</v>
      </c>
    </row>
    <row r="246" spans="1:9" x14ac:dyDescent="0.25">
      <c r="A246">
        <f t="shared" si="47"/>
        <v>968</v>
      </c>
      <c r="B246" s="3">
        <f t="shared" si="48"/>
        <v>242</v>
      </c>
      <c r="C246" s="3">
        <f t="shared" si="49"/>
        <v>-141</v>
      </c>
      <c r="D246" s="4">
        <f t="shared" si="46"/>
        <v>-3.8402581960829703</v>
      </c>
      <c r="E246" s="4" t="e">
        <f t="shared" si="50"/>
        <v>#DIV/0!</v>
      </c>
      <c r="F246" s="4">
        <f t="shared" si="51"/>
        <v>-2.497566464674148</v>
      </c>
      <c r="G246" s="4" t="e">
        <f t="shared" si="52"/>
        <v>#DIV/0!</v>
      </c>
      <c r="H246" s="4">
        <f t="shared" si="53"/>
        <v>-3.7502521446122756</v>
      </c>
      <c r="I246" s="4" t="e">
        <f t="shared" si="54"/>
        <v>#DIV/0!</v>
      </c>
    </row>
    <row r="247" spans="1:9" x14ac:dyDescent="0.25">
      <c r="A247">
        <f t="shared" si="47"/>
        <v>972</v>
      </c>
      <c r="B247" s="3">
        <f t="shared" si="48"/>
        <v>243</v>
      </c>
      <c r="C247" s="3">
        <f t="shared" si="49"/>
        <v>-142</v>
      </c>
      <c r="D247" s="4">
        <f t="shared" si="46"/>
        <v>-3.8674940698140552</v>
      </c>
      <c r="E247" s="4" t="e">
        <f t="shared" si="50"/>
        <v>#DIV/0!</v>
      </c>
      <c r="F247" s="4">
        <f t="shared" si="51"/>
        <v>-2.515279702012263</v>
      </c>
      <c r="G247" s="4" t="e">
        <f t="shared" si="52"/>
        <v>#DIV/0!</v>
      </c>
      <c r="H247" s="4">
        <f t="shared" si="53"/>
        <v>-3.776849677552788</v>
      </c>
      <c r="I247" s="4" t="e">
        <f t="shared" si="54"/>
        <v>#DIV/0!</v>
      </c>
    </row>
    <row r="248" spans="1:9" x14ac:dyDescent="0.25">
      <c r="A248">
        <f t="shared" si="47"/>
        <v>976</v>
      </c>
      <c r="B248" s="3">
        <f t="shared" si="48"/>
        <v>244</v>
      </c>
      <c r="C248" s="3">
        <f t="shared" si="49"/>
        <v>-143</v>
      </c>
      <c r="D248" s="4">
        <f t="shared" si="46"/>
        <v>-3.8947299435451406</v>
      </c>
      <c r="E248" s="4" t="e">
        <f t="shared" si="50"/>
        <v>#DIV/0!</v>
      </c>
      <c r="F248" s="4">
        <f t="shared" si="51"/>
        <v>-2.5329929393503776</v>
      </c>
      <c r="G248" s="4" t="e">
        <f t="shared" si="52"/>
        <v>#DIV/0!</v>
      </c>
      <c r="H248" s="4">
        <f t="shared" si="53"/>
        <v>-3.8034472104933004</v>
      </c>
      <c r="I248" s="4" t="e">
        <f t="shared" si="54"/>
        <v>#DIV/0!</v>
      </c>
    </row>
    <row r="249" spans="1:9" x14ac:dyDescent="0.25">
      <c r="A249">
        <f t="shared" si="47"/>
        <v>980</v>
      </c>
      <c r="B249" s="3">
        <f t="shared" si="48"/>
        <v>245</v>
      </c>
      <c r="C249" s="3">
        <f t="shared" si="49"/>
        <v>-144</v>
      </c>
      <c r="D249" s="4">
        <f t="shared" si="46"/>
        <v>-3.9219658172762251</v>
      </c>
      <c r="E249" s="4" t="e">
        <f t="shared" si="50"/>
        <v>#DIV/0!</v>
      </c>
      <c r="F249" s="4">
        <f t="shared" si="51"/>
        <v>-2.5507061766884918</v>
      </c>
      <c r="G249" s="4" t="e">
        <f t="shared" si="52"/>
        <v>#DIV/0!</v>
      </c>
      <c r="H249" s="4">
        <f t="shared" si="53"/>
        <v>-3.8300447434338136</v>
      </c>
      <c r="I249" s="4" t="e">
        <f t="shared" si="54"/>
        <v>#DIV/0!</v>
      </c>
    </row>
    <row r="250" spans="1:9" x14ac:dyDescent="0.25">
      <c r="A250">
        <f t="shared" si="47"/>
        <v>984</v>
      </c>
      <c r="B250" s="3">
        <f t="shared" si="48"/>
        <v>246</v>
      </c>
      <c r="C250" s="3">
        <f t="shared" si="49"/>
        <v>-145</v>
      </c>
      <c r="D250" s="4">
        <f t="shared" si="46"/>
        <v>-3.9492016910073096</v>
      </c>
      <c r="E250" s="4" t="e">
        <f t="shared" si="50"/>
        <v>#DIV/0!</v>
      </c>
      <c r="F250" s="4">
        <f t="shared" si="51"/>
        <v>-2.5684194140266059</v>
      </c>
      <c r="G250" s="4" t="e">
        <f t="shared" si="52"/>
        <v>#DIV/0!</v>
      </c>
      <c r="H250" s="4">
        <f t="shared" si="53"/>
        <v>-3.856642276374326</v>
      </c>
      <c r="I250" s="4" t="e">
        <f t="shared" si="54"/>
        <v>#DIV/0!</v>
      </c>
    </row>
    <row r="251" spans="1:9" x14ac:dyDescent="0.25">
      <c r="A251">
        <f t="shared" si="47"/>
        <v>988</v>
      </c>
      <c r="B251" s="3">
        <f t="shared" si="48"/>
        <v>247</v>
      </c>
      <c r="C251" s="3">
        <f t="shared" si="49"/>
        <v>-146</v>
      </c>
      <c r="D251" s="4">
        <f t="shared" si="46"/>
        <v>-3.9764375647383949</v>
      </c>
      <c r="E251" s="4" t="e">
        <f t="shared" si="50"/>
        <v>#DIV/0!</v>
      </c>
      <c r="F251" s="4">
        <f t="shared" si="51"/>
        <v>-2.5861326513647209</v>
      </c>
      <c r="G251" s="4" t="e">
        <f t="shared" si="52"/>
        <v>#DIV/0!</v>
      </c>
      <c r="H251" s="4">
        <f t="shared" si="53"/>
        <v>-3.8832398093148388</v>
      </c>
      <c r="I251" s="4" t="e">
        <f t="shared" si="54"/>
        <v>#DIV/0!</v>
      </c>
    </row>
    <row r="252" spans="1:9" x14ac:dyDescent="0.25">
      <c r="A252">
        <f t="shared" si="47"/>
        <v>992</v>
      </c>
      <c r="B252" s="3">
        <f t="shared" si="48"/>
        <v>248</v>
      </c>
      <c r="C252" s="3">
        <f t="shared" si="49"/>
        <v>-147</v>
      </c>
      <c r="D252" s="4">
        <f t="shared" si="46"/>
        <v>-4.0036734384694803</v>
      </c>
      <c r="E252" s="4" t="e">
        <f t="shared" si="50"/>
        <v>#DIV/0!</v>
      </c>
      <c r="F252" s="4">
        <f t="shared" si="51"/>
        <v>-2.6038458887028355</v>
      </c>
      <c r="G252" s="4" t="e">
        <f t="shared" si="52"/>
        <v>#DIV/0!</v>
      </c>
      <c r="H252" s="4">
        <f t="shared" si="53"/>
        <v>-3.9098373422553507</v>
      </c>
      <c r="I252" s="4" t="e">
        <f t="shared" si="54"/>
        <v>#DIV/0!</v>
      </c>
    </row>
    <row r="253" spans="1:9" x14ac:dyDescent="0.25">
      <c r="A253">
        <f t="shared" si="47"/>
        <v>996</v>
      </c>
      <c r="B253" s="3">
        <f t="shared" si="48"/>
        <v>249</v>
      </c>
      <c r="C253" s="3">
        <f t="shared" si="49"/>
        <v>-148</v>
      </c>
      <c r="D253" s="4">
        <f t="shared" si="46"/>
        <v>-4.0309093122005653</v>
      </c>
      <c r="E253" s="4" t="e">
        <f t="shared" si="50"/>
        <v>#DIV/0!</v>
      </c>
      <c r="F253" s="4">
        <f t="shared" si="51"/>
        <v>-2.6215591260409501</v>
      </c>
      <c r="G253" s="4" t="e">
        <f t="shared" si="52"/>
        <v>#DIV/0!</v>
      </c>
      <c r="H253" s="4">
        <f t="shared" si="53"/>
        <v>-3.936434875195864</v>
      </c>
      <c r="I253" s="4" t="e">
        <f t="shared" si="54"/>
        <v>#DIV/0!</v>
      </c>
    </row>
    <row r="254" spans="1:9" x14ac:dyDescent="0.25">
      <c r="A254">
        <f t="shared" si="47"/>
        <v>1000</v>
      </c>
      <c r="B254" s="3">
        <f t="shared" si="48"/>
        <v>250</v>
      </c>
      <c r="C254" s="3">
        <f t="shared" si="49"/>
        <v>-149</v>
      </c>
      <c r="D254" s="4">
        <f t="shared" si="46"/>
        <v>-4.0581451859316493</v>
      </c>
      <c r="E254" s="4" t="e">
        <f t="shared" si="50"/>
        <v>#DIV/0!</v>
      </c>
      <c r="F254" s="4">
        <f t="shared" si="51"/>
        <v>-2.6392723633790642</v>
      </c>
      <c r="G254" s="4" t="e">
        <f t="shared" si="52"/>
        <v>#DIV/0!</v>
      </c>
      <c r="H254" s="4">
        <f t="shared" si="53"/>
        <v>-3.9630324081363764</v>
      </c>
      <c r="I254" s="4" t="e">
        <f t="shared" si="54"/>
        <v>#DIV/0!</v>
      </c>
    </row>
    <row r="255" spans="1:9" x14ac:dyDescent="0.25">
      <c r="A255">
        <f t="shared" si="47"/>
        <v>1004</v>
      </c>
      <c r="B255" s="3">
        <f t="shared" si="48"/>
        <v>251</v>
      </c>
      <c r="C255" s="3">
        <f t="shared" si="49"/>
        <v>-150</v>
      </c>
      <c r="D255" s="4">
        <f t="shared" si="46"/>
        <v>-4.0853810596627342</v>
      </c>
      <c r="E255" s="4" t="e">
        <f t="shared" si="50"/>
        <v>#DIV/0!</v>
      </c>
      <c r="F255" s="4">
        <f t="shared" si="51"/>
        <v>-2.6569856007171788</v>
      </c>
      <c r="G255" s="4" t="e">
        <f t="shared" si="52"/>
        <v>#DIV/0!</v>
      </c>
      <c r="H255" s="4">
        <f t="shared" si="53"/>
        <v>-3.9896299410768892</v>
      </c>
      <c r="I255" s="4" t="e">
        <f t="shared" si="54"/>
        <v>#DIV/0!</v>
      </c>
    </row>
    <row r="256" spans="1:9" x14ac:dyDescent="0.25">
      <c r="A256">
        <f t="shared" si="47"/>
        <v>1008</v>
      </c>
      <c r="B256" s="3">
        <f t="shared" si="48"/>
        <v>252</v>
      </c>
      <c r="C256" s="3">
        <f t="shared" si="49"/>
        <v>-151</v>
      </c>
      <c r="D256" s="4">
        <f t="shared" si="46"/>
        <v>-4.1126169333938201</v>
      </c>
      <c r="E256" s="4" t="e">
        <f t="shared" si="50"/>
        <v>#DIV/0!</v>
      </c>
      <c r="F256" s="4">
        <f t="shared" si="51"/>
        <v>-2.6746988380552938</v>
      </c>
      <c r="G256" s="4" t="e">
        <f t="shared" si="52"/>
        <v>#DIV/0!</v>
      </c>
      <c r="H256" s="4">
        <f t="shared" si="53"/>
        <v>-4.0162274740174011</v>
      </c>
      <c r="I256" s="4" t="e">
        <f t="shared" si="54"/>
        <v>#DIV/0!</v>
      </c>
    </row>
    <row r="257" spans="1:9" x14ac:dyDescent="0.25">
      <c r="A257">
        <f t="shared" si="47"/>
        <v>1012</v>
      </c>
      <c r="B257" s="3">
        <f t="shared" si="48"/>
        <v>253</v>
      </c>
      <c r="C257" s="3">
        <f t="shared" si="49"/>
        <v>-152</v>
      </c>
      <c r="D257" s="4">
        <f t="shared" si="46"/>
        <v>-4.1398528071249041</v>
      </c>
      <c r="E257" s="4" t="e">
        <f t="shared" si="50"/>
        <v>#DIV/0!</v>
      </c>
      <c r="F257" s="4">
        <f t="shared" si="51"/>
        <v>-2.692412075393408</v>
      </c>
      <c r="G257" s="4" t="e">
        <f t="shared" si="52"/>
        <v>#DIV/0!</v>
      </c>
      <c r="H257" s="4">
        <f t="shared" si="53"/>
        <v>-4.0428250069579139</v>
      </c>
      <c r="I257" s="4" t="e">
        <f t="shared" si="54"/>
        <v>#DIV/0!</v>
      </c>
    </row>
    <row r="258" spans="1:9" x14ac:dyDescent="0.25">
      <c r="A258">
        <f t="shared" si="47"/>
        <v>1016</v>
      </c>
      <c r="B258" s="3">
        <f t="shared" si="48"/>
        <v>254</v>
      </c>
      <c r="C258" s="3">
        <f t="shared" si="49"/>
        <v>-153</v>
      </c>
      <c r="D258" s="4">
        <f t="shared" si="46"/>
        <v>-4.167088680855989</v>
      </c>
      <c r="E258" s="4" t="e">
        <f t="shared" si="50"/>
        <v>#DIV/0!</v>
      </c>
      <c r="F258" s="4">
        <f t="shared" si="51"/>
        <v>-2.7101253127315226</v>
      </c>
      <c r="G258" s="4" t="e">
        <f t="shared" si="52"/>
        <v>#DIV/0!</v>
      </c>
      <c r="H258" s="4">
        <f t="shared" si="53"/>
        <v>-4.0694225398984267</v>
      </c>
      <c r="I258" s="4" t="e">
        <f t="shared" si="54"/>
        <v>#DIV/0!</v>
      </c>
    </row>
    <row r="259" spans="1:9" x14ac:dyDescent="0.25">
      <c r="A259">
        <f t="shared" si="47"/>
        <v>1020</v>
      </c>
      <c r="B259" s="3">
        <f t="shared" si="48"/>
        <v>255</v>
      </c>
      <c r="C259" s="3">
        <f t="shared" si="49"/>
        <v>-154</v>
      </c>
      <c r="D259" s="4">
        <f t="shared" si="46"/>
        <v>-4.194324554587074</v>
      </c>
      <c r="E259" s="4" t="e">
        <f t="shared" si="50"/>
        <v>#DIV/0!</v>
      </c>
      <c r="F259" s="4">
        <f t="shared" si="51"/>
        <v>-2.7278385500696372</v>
      </c>
      <c r="G259" s="4" t="e">
        <f t="shared" si="52"/>
        <v>#DIV/0!</v>
      </c>
      <c r="H259" s="4">
        <f t="shared" si="53"/>
        <v>-4.0960200728389395</v>
      </c>
      <c r="I259" s="4" t="e">
        <f t="shared" si="54"/>
        <v>#DIV/0!</v>
      </c>
    </row>
    <row r="260" spans="1:9" x14ac:dyDescent="0.25">
      <c r="A260">
        <f t="shared" si="47"/>
        <v>1024</v>
      </c>
      <c r="B260" s="3">
        <f t="shared" si="48"/>
        <v>256</v>
      </c>
      <c r="C260" s="3">
        <f t="shared" si="49"/>
        <v>-155</v>
      </c>
      <c r="D260" s="4">
        <f t="shared" si="46"/>
        <v>-4.2215604283181589</v>
      </c>
      <c r="E260" s="4" t="e">
        <f t="shared" si="50"/>
        <v>#DIV/0!</v>
      </c>
      <c r="F260" s="4">
        <f t="shared" si="51"/>
        <v>-2.7455517874077513</v>
      </c>
      <c r="G260" s="4" t="e">
        <f t="shared" si="52"/>
        <v>#DIV/0!</v>
      </c>
      <c r="H260" s="4">
        <f t="shared" si="53"/>
        <v>-4.1226176057794524</v>
      </c>
      <c r="I260" s="4" t="e">
        <f t="shared" si="54"/>
        <v>#DIV/0!</v>
      </c>
    </row>
  </sheetData>
  <phoneticPr fontId="7" type="noConversion"/>
  <pageMargins left="0.75" right="0.75" top="1" bottom="1" header="0.5" footer="0.5"/>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Hours to fill</vt:lpstr>
      <vt:lpstr>Almnd 20x22-0.30ET</vt:lpstr>
      <vt:lpstr>Pistachio 19x17-0.30ET</vt:lpstr>
      <vt:lpstr>Almnd 20x22-0.28ET</vt:lpstr>
      <vt:lpstr>Almnd 20x22-0.25ET</vt:lpstr>
      <vt:lpstr>Citrus-Almnd 20x22-0.20ET</vt:lpstr>
      <vt:lpstr>Citrus 20x20-0.20ET</vt:lpstr>
      <vt:lpstr>Flood-Soil Interval English-NSJ</vt:lpstr>
      <vt:lpstr>Time to get to end</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Blake Sanden</dc:creator>
  <cp:lastModifiedBy>Gordon Riggs</cp:lastModifiedBy>
  <cp:lastPrinted>2002-11-26T16:29:46Z</cp:lastPrinted>
  <dcterms:created xsi:type="dcterms:W3CDTF">2001-03-06T05:20:54Z</dcterms:created>
  <dcterms:modified xsi:type="dcterms:W3CDTF">2026-02-26T18:04:27Z</dcterms:modified>
</cp:coreProperties>
</file>