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https://ucdavis365-my.sharepoint.com/personal/dmacon_ucdavis_edu/Documents/UCCE - 2022 Computer/2024 Workshops/"/>
    </mc:Choice>
  </mc:AlternateContent>
  <xr:revisionPtr revIDLastSave="15" documentId="8_{6B153CAD-6EF2-4782-8410-04CE81FB8F94}" xr6:coauthVersionLast="36" xr6:coauthVersionMax="36" xr10:uidLastSave="{78F7F674-1303-48FC-92DF-646FCA712F88}"/>
  <bookViews>
    <workbookView xWindow="0" yWindow="0" windowWidth="14380" windowHeight="4780" xr2:uid="{00000000-000D-0000-FFFF-FFFF00000000}"/>
  </bookViews>
  <sheets>
    <sheet name="Instructions" sheetId="13" r:id="rId1"/>
    <sheet name="Livestock Inventory" sheetId="2" r:id="rId2"/>
    <sheet name="Grazing Estimate" sheetId="10" r:id="rId3"/>
    <sheet name="Livestock Value" sheetId="11" r:id="rId4"/>
    <sheet name="Labor" sheetId="3" r:id="rId5"/>
    <sheet name="Cash Overhead" sheetId="4" r:id="rId6"/>
    <sheet name="Non-Cash Overhead" sheetId="5" r:id="rId7"/>
    <sheet name="Direct Costs" sheetId="6" r:id="rId8"/>
    <sheet name="Gross Revenue" sheetId="9" r:id="rId9"/>
    <sheet name="Profit Analysis" sheetId="7" r:id="rId10"/>
    <sheet name="Cash Flow Budget" sheetId="12"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0" l="1"/>
  <c r="AC34" i="12" l="1"/>
  <c r="AC35" i="12"/>
  <c r="AC36" i="12"/>
  <c r="AC37" i="12"/>
  <c r="AB34" i="12"/>
  <c r="AB35" i="12"/>
  <c r="AB36" i="12"/>
  <c r="AB37" i="12"/>
  <c r="B36" i="12"/>
  <c r="B35" i="12"/>
  <c r="B34" i="12"/>
  <c r="B33" i="12"/>
  <c r="B32" i="12"/>
  <c r="B31" i="12"/>
  <c r="B30" i="12"/>
  <c r="B29" i="12"/>
  <c r="B28" i="12"/>
  <c r="B24" i="12"/>
  <c r="B23" i="12"/>
  <c r="B21" i="12"/>
  <c r="B22" i="12"/>
  <c r="B18" i="12"/>
  <c r="B19" i="12"/>
  <c r="B20" i="12"/>
  <c r="B17" i="12"/>
  <c r="AC56" i="12"/>
  <c r="AB56" i="12"/>
  <c r="AC55" i="12"/>
  <c r="AB55" i="12"/>
  <c r="AC52" i="12"/>
  <c r="AB52" i="12"/>
  <c r="AC51" i="12"/>
  <c r="AB51" i="12"/>
  <c r="AC44" i="12"/>
  <c r="AB44" i="12"/>
  <c r="AA42" i="12"/>
  <c r="Z42" i="12"/>
  <c r="Y42" i="12"/>
  <c r="X42" i="12"/>
  <c r="W42" i="12"/>
  <c r="V42" i="12"/>
  <c r="U42" i="12"/>
  <c r="T42" i="12"/>
  <c r="S42" i="12"/>
  <c r="R42" i="12"/>
  <c r="Q42" i="12"/>
  <c r="P42" i="12"/>
  <c r="O42" i="12"/>
  <c r="N42" i="12"/>
  <c r="M42" i="12"/>
  <c r="L42" i="12"/>
  <c r="K42" i="12"/>
  <c r="J42" i="12"/>
  <c r="I42" i="12"/>
  <c r="H42" i="12"/>
  <c r="G42" i="12"/>
  <c r="F42" i="12"/>
  <c r="E42" i="12"/>
  <c r="D42" i="12"/>
  <c r="AC41" i="12"/>
  <c r="AD41" i="12" s="1"/>
  <c r="AB41" i="12"/>
  <c r="AC40" i="12"/>
  <c r="AB40" i="12"/>
  <c r="AC33" i="12"/>
  <c r="AB33" i="12"/>
  <c r="AC32" i="12"/>
  <c r="AB32" i="12"/>
  <c r="AC31" i="12"/>
  <c r="AB31" i="12"/>
  <c r="AC30" i="12"/>
  <c r="AB30" i="12"/>
  <c r="AC29" i="12"/>
  <c r="AB29" i="12"/>
  <c r="AC28" i="12"/>
  <c r="AB28" i="12"/>
  <c r="AA25" i="12"/>
  <c r="Z25" i="12"/>
  <c r="Y25" i="12"/>
  <c r="X25" i="12"/>
  <c r="W25" i="12"/>
  <c r="V25" i="12"/>
  <c r="U25" i="12"/>
  <c r="T25" i="12"/>
  <c r="S25" i="12"/>
  <c r="R25" i="12"/>
  <c r="Q25" i="12"/>
  <c r="P25" i="12"/>
  <c r="O25" i="12"/>
  <c r="N25" i="12"/>
  <c r="M25" i="12"/>
  <c r="L25" i="12"/>
  <c r="K25" i="12"/>
  <c r="J25" i="12"/>
  <c r="I25" i="12"/>
  <c r="H25" i="12"/>
  <c r="G25" i="12"/>
  <c r="F25" i="12"/>
  <c r="E25" i="12"/>
  <c r="D25" i="12"/>
  <c r="AC24" i="12"/>
  <c r="AB24" i="12"/>
  <c r="AC23" i="12"/>
  <c r="AB23" i="12"/>
  <c r="AC22" i="12"/>
  <c r="AB22" i="12"/>
  <c r="AC21" i="12"/>
  <c r="AB21" i="12"/>
  <c r="AC20" i="12"/>
  <c r="AB20" i="12"/>
  <c r="AC19" i="12"/>
  <c r="AB19" i="12"/>
  <c r="AC18" i="12"/>
  <c r="AB18" i="12"/>
  <c r="AC17" i="12"/>
  <c r="AB17" i="12"/>
  <c r="AA14" i="12"/>
  <c r="Z14" i="12"/>
  <c r="Y14" i="12"/>
  <c r="X14" i="12"/>
  <c r="W14" i="12"/>
  <c r="V14" i="12"/>
  <c r="U14" i="12"/>
  <c r="T14" i="12"/>
  <c r="S14" i="12"/>
  <c r="R14" i="12"/>
  <c r="Q14" i="12"/>
  <c r="P14" i="12"/>
  <c r="O14" i="12"/>
  <c r="N14" i="12"/>
  <c r="M14" i="12"/>
  <c r="L14" i="12"/>
  <c r="K14" i="12"/>
  <c r="J14" i="12"/>
  <c r="I14" i="12"/>
  <c r="H14" i="12"/>
  <c r="G14" i="12"/>
  <c r="F14" i="12"/>
  <c r="E14" i="12"/>
  <c r="D14" i="12"/>
  <c r="C14" i="12"/>
  <c r="AC13" i="12"/>
  <c r="AB13" i="12"/>
  <c r="AC12" i="12"/>
  <c r="AD12" i="12" s="1"/>
  <c r="AB12" i="12"/>
  <c r="AC11" i="12"/>
  <c r="AB11" i="12"/>
  <c r="AC10" i="12"/>
  <c r="AB10" i="12"/>
  <c r="AC9" i="12"/>
  <c r="AB9" i="12"/>
  <c r="AC8" i="12"/>
  <c r="AD8" i="12" s="1"/>
  <c r="AB8" i="12"/>
  <c r="AC7" i="12"/>
  <c r="AB7" i="12"/>
  <c r="AC6" i="12"/>
  <c r="AB6" i="12"/>
  <c r="AC5" i="12"/>
  <c r="AB5" i="12"/>
  <c r="AD40" i="12" l="1"/>
  <c r="AD24" i="12"/>
  <c r="AD10" i="12"/>
  <c r="AD55" i="12"/>
  <c r="AD56" i="12"/>
  <c r="AD51" i="12"/>
  <c r="M46" i="12"/>
  <c r="AD22" i="12"/>
  <c r="U46" i="12"/>
  <c r="AD37" i="12"/>
  <c r="AD33" i="12"/>
  <c r="E46" i="12"/>
  <c r="E48" i="12" s="1"/>
  <c r="E58" i="12" s="1"/>
  <c r="G5" i="12" s="1"/>
  <c r="I46" i="12"/>
  <c r="Q46" i="12"/>
  <c r="Y46" i="12"/>
  <c r="AD44" i="12"/>
  <c r="AD36" i="12"/>
  <c r="AD35" i="12"/>
  <c r="AD11" i="12"/>
  <c r="AD13" i="12"/>
  <c r="D46" i="12"/>
  <c r="D48" i="12" s="1"/>
  <c r="D58" i="12" s="1"/>
  <c r="F5" i="12" s="1"/>
  <c r="H46" i="12"/>
  <c r="L46" i="12"/>
  <c r="T46" i="12"/>
  <c r="X46" i="12"/>
  <c r="G46" i="12"/>
  <c r="K46" i="12"/>
  <c r="O46" i="12"/>
  <c r="S46" i="12"/>
  <c r="W46" i="12"/>
  <c r="AA46" i="12"/>
  <c r="AD52" i="12"/>
  <c r="AD34" i="12"/>
  <c r="P46" i="12"/>
  <c r="AD31" i="12"/>
  <c r="Z46" i="12"/>
  <c r="V46" i="12"/>
  <c r="R46" i="12"/>
  <c r="N46" i="12"/>
  <c r="J46" i="12"/>
  <c r="F46" i="12"/>
  <c r="AD21" i="12"/>
  <c r="AD19" i="12"/>
  <c r="AD23" i="12"/>
  <c r="AD32" i="12"/>
  <c r="AC42" i="12"/>
  <c r="AB14" i="12"/>
  <c r="AD9" i="12"/>
  <c r="AD20" i="12"/>
  <c r="AD30" i="12"/>
  <c r="AC25" i="12"/>
  <c r="AB42" i="12"/>
  <c r="AC14" i="12"/>
  <c r="AB25" i="12"/>
  <c r="AD5" i="12"/>
  <c r="AD7" i="12"/>
  <c r="AD29" i="12"/>
  <c r="AD18" i="12"/>
  <c r="AD6" i="12"/>
  <c r="AD17" i="12"/>
  <c r="AD28" i="12"/>
  <c r="G48" i="12" l="1"/>
  <c r="G58" i="12" s="1"/>
  <c r="I5" i="12" s="1"/>
  <c r="I48" i="12" s="1"/>
  <c r="I58" i="12" s="1"/>
  <c r="K5" i="12" s="1"/>
  <c r="K48" i="12" s="1"/>
  <c r="K58" i="12" s="1"/>
  <c r="M5" i="12" s="1"/>
  <c r="M48" i="12" s="1"/>
  <c r="M58" i="12" s="1"/>
  <c r="O5" i="12" s="1"/>
  <c r="O48" i="12" s="1"/>
  <c r="O58" i="12" s="1"/>
  <c r="Q5" i="12" s="1"/>
  <c r="Q48" i="12" s="1"/>
  <c r="Q58" i="12" s="1"/>
  <c r="S5" i="12" s="1"/>
  <c r="S48" i="12" s="1"/>
  <c r="S58" i="12" s="1"/>
  <c r="U5" i="12" s="1"/>
  <c r="U48" i="12" s="1"/>
  <c r="U58" i="12" s="1"/>
  <c r="W5" i="12" s="1"/>
  <c r="W48" i="12" s="1"/>
  <c r="W58" i="12" s="1"/>
  <c r="Y5" i="12" s="1"/>
  <c r="Y48" i="12" s="1"/>
  <c r="Y58" i="12" s="1"/>
  <c r="AA5" i="12" s="1"/>
  <c r="AA48" i="12" s="1"/>
  <c r="AA58" i="12" s="1"/>
  <c r="AC58" i="12" s="1"/>
  <c r="AC46" i="12"/>
  <c r="AC48" i="12" s="1"/>
  <c r="F48" i="12"/>
  <c r="F58" i="12" s="1"/>
  <c r="H5" i="12" s="1"/>
  <c r="H48" i="12" s="1"/>
  <c r="H58" i="12" s="1"/>
  <c r="J5" i="12" s="1"/>
  <c r="J48" i="12" s="1"/>
  <c r="J58" i="12" s="1"/>
  <c r="L5" i="12" s="1"/>
  <c r="L48" i="12" s="1"/>
  <c r="L58" i="12" s="1"/>
  <c r="N5" i="12" s="1"/>
  <c r="N48" i="12" s="1"/>
  <c r="N58" i="12" s="1"/>
  <c r="P5" i="12" s="1"/>
  <c r="P48" i="12" s="1"/>
  <c r="P58" i="12" s="1"/>
  <c r="R5" i="12" s="1"/>
  <c r="R48" i="12" s="1"/>
  <c r="R58" i="12" s="1"/>
  <c r="T5" i="12" s="1"/>
  <c r="T48" i="12" s="1"/>
  <c r="T58" i="12" s="1"/>
  <c r="V5" i="12" s="1"/>
  <c r="V48" i="12" s="1"/>
  <c r="V58" i="12" s="1"/>
  <c r="X5" i="12" s="1"/>
  <c r="X48" i="12" s="1"/>
  <c r="X58" i="12" s="1"/>
  <c r="Z5" i="12" s="1"/>
  <c r="Z48" i="12" s="1"/>
  <c r="Z58" i="12" s="1"/>
  <c r="AB58" i="12" s="1"/>
  <c r="AD25" i="12"/>
  <c r="AD42" i="12"/>
  <c r="AB46" i="12"/>
  <c r="AB48" i="12" s="1"/>
  <c r="AD14" i="12"/>
  <c r="AD46" i="12" l="1"/>
  <c r="AD48" i="12" s="1"/>
  <c r="AD58" i="12" s="1"/>
  <c r="B21" i="7" l="1"/>
  <c r="B9" i="10"/>
  <c r="Q12" i="11"/>
  <c r="P12" i="11"/>
  <c r="O12" i="11"/>
  <c r="N12" i="11"/>
  <c r="M12" i="11"/>
  <c r="M16" i="11" s="1"/>
  <c r="L12" i="11"/>
  <c r="L16" i="11" s="1"/>
  <c r="K12" i="11"/>
  <c r="J12" i="11"/>
  <c r="J16" i="11" s="1"/>
  <c r="Q15" i="11"/>
  <c r="P15" i="11"/>
  <c r="O15" i="11"/>
  <c r="O16" i="11" s="1"/>
  <c r="N15" i="11"/>
  <c r="M15" i="11"/>
  <c r="L15" i="11"/>
  <c r="K15" i="11"/>
  <c r="J15" i="11"/>
  <c r="K16" i="11"/>
  <c r="P16" i="11" l="1"/>
  <c r="Q16" i="11"/>
  <c r="N16" i="11"/>
  <c r="J17" i="11"/>
  <c r="K6" i="11" l="1"/>
  <c r="L6" i="11"/>
  <c r="M6" i="11"/>
  <c r="N6" i="11"/>
  <c r="O6" i="11"/>
  <c r="P6" i="11"/>
  <c r="Q6" i="11"/>
  <c r="Q7" i="11" s="1"/>
  <c r="J6" i="11"/>
  <c r="Q3" i="11"/>
  <c r="P3" i="11"/>
  <c r="O3" i="11"/>
  <c r="N3" i="11"/>
  <c r="M3" i="11"/>
  <c r="L3" i="11"/>
  <c r="K3" i="11"/>
  <c r="J3" i="11"/>
  <c r="B4" i="11"/>
  <c r="D4" i="11" s="1"/>
  <c r="B5" i="11"/>
  <c r="D5" i="11" s="1"/>
  <c r="B6" i="11"/>
  <c r="D6" i="11" s="1"/>
  <c r="B7" i="11"/>
  <c r="D7" i="11" s="1"/>
  <c r="B9" i="11"/>
  <c r="D9" i="11" s="1"/>
  <c r="B10" i="11"/>
  <c r="D10" i="11" s="1"/>
  <c r="B11" i="11"/>
  <c r="D11" i="11" s="1"/>
  <c r="B12" i="11"/>
  <c r="D12" i="11" s="1"/>
  <c r="B13" i="11"/>
  <c r="D13" i="11" s="1"/>
  <c r="B3" i="11"/>
  <c r="D3" i="11" s="1"/>
  <c r="A4" i="11"/>
  <c r="A5" i="11"/>
  <c r="A6" i="11"/>
  <c r="A7" i="11"/>
  <c r="A9" i="11"/>
  <c r="A10" i="11"/>
  <c r="A11" i="11"/>
  <c r="A12" i="11"/>
  <c r="A13" i="11"/>
  <c r="A3" i="11"/>
  <c r="J7" i="11" l="1"/>
  <c r="O7" i="11"/>
  <c r="P7" i="11"/>
  <c r="N7" i="11"/>
  <c r="D15" i="11"/>
  <c r="M7" i="11"/>
  <c r="L7" i="11"/>
  <c r="K7" i="11"/>
  <c r="J8" i="11" l="1"/>
  <c r="B7" i="9" s="1"/>
  <c r="D15" i="2"/>
  <c r="E15" i="2"/>
  <c r="F15" i="2"/>
  <c r="G15" i="2"/>
  <c r="H15" i="2"/>
  <c r="I15" i="2"/>
  <c r="C15" i="2"/>
  <c r="J3" i="2"/>
  <c r="E4" i="11" s="1"/>
  <c r="G4" i="11" s="1"/>
  <c r="J4" i="2"/>
  <c r="E5" i="11" s="1"/>
  <c r="G5" i="11" s="1"/>
  <c r="J5" i="2"/>
  <c r="E6" i="11" s="1"/>
  <c r="G6" i="11" s="1"/>
  <c r="J6" i="2"/>
  <c r="E7" i="11" s="1"/>
  <c r="G7" i="11" s="1"/>
  <c r="J8" i="2"/>
  <c r="E9" i="11" s="1"/>
  <c r="G9" i="11" s="1"/>
  <c r="J9" i="2"/>
  <c r="E10" i="11" s="1"/>
  <c r="G10" i="11" s="1"/>
  <c r="J10" i="2"/>
  <c r="E11" i="11" s="1"/>
  <c r="G11" i="11" s="1"/>
  <c r="J11" i="2"/>
  <c r="E12" i="11" s="1"/>
  <c r="G12" i="11" s="1"/>
  <c r="J12" i="2"/>
  <c r="E13" i="11" s="1"/>
  <c r="G13" i="11" s="1"/>
  <c r="J2" i="2"/>
  <c r="E3" i="11" s="1"/>
  <c r="G3" i="11" s="1"/>
  <c r="C4" i="6" l="1"/>
  <c r="C9" i="6" s="1"/>
  <c r="C19" i="12" s="1"/>
  <c r="B3" i="10"/>
  <c r="J15" i="2"/>
  <c r="G15" i="11"/>
  <c r="B25" i="7" s="1"/>
  <c r="B13" i="7"/>
  <c r="B5" i="9"/>
  <c r="C61" i="4"/>
  <c r="C36" i="12" s="1"/>
  <c r="C40" i="5"/>
  <c r="H39" i="5"/>
  <c r="H38" i="5"/>
  <c r="H37" i="5"/>
  <c r="H36" i="5"/>
  <c r="H35" i="5"/>
  <c r="H34" i="5"/>
  <c r="C33" i="5"/>
  <c r="H32" i="5"/>
  <c r="H31" i="5"/>
  <c r="C30" i="5"/>
  <c r="H29" i="5"/>
  <c r="H28" i="5"/>
  <c r="H27" i="5"/>
  <c r="H26" i="5"/>
  <c r="H25" i="5"/>
  <c r="H24" i="5"/>
  <c r="C23" i="5"/>
  <c r="H22" i="5"/>
  <c r="H21" i="5"/>
  <c r="H20" i="5"/>
  <c r="H19" i="5"/>
  <c r="H18" i="5"/>
  <c r="C17" i="5"/>
  <c r="H16" i="5"/>
  <c r="H15" i="5"/>
  <c r="H14" i="5"/>
  <c r="H13" i="5"/>
  <c r="C55" i="4"/>
  <c r="C35" i="12" s="1"/>
  <c r="C51" i="4"/>
  <c r="C34" i="12" s="1"/>
  <c r="C43" i="4"/>
  <c r="C33" i="12" s="1"/>
  <c r="C39" i="4"/>
  <c r="C32" i="12" s="1"/>
  <c r="C30" i="4"/>
  <c r="C31" i="12" s="1"/>
  <c r="C26" i="4"/>
  <c r="C30" i="12" s="1"/>
  <c r="C22" i="4"/>
  <c r="C29" i="12" s="1"/>
  <c r="C15" i="4"/>
  <c r="C28" i="12" s="1"/>
  <c r="C34" i="3"/>
  <c r="D35" i="3" s="1"/>
  <c r="D21" i="3"/>
  <c r="D20" i="3"/>
  <c r="D22" i="3" s="1"/>
  <c r="D24" i="3" s="1"/>
  <c r="D32" i="3"/>
  <c r="D33" i="3"/>
  <c r="C12" i="3"/>
  <c r="D12" i="3" s="1"/>
  <c r="D9" i="3"/>
  <c r="H33" i="5" l="1"/>
  <c r="C10" i="6"/>
  <c r="C20" i="12" s="1"/>
  <c r="C7" i="6"/>
  <c r="C17" i="12" s="1"/>
  <c r="C14" i="6"/>
  <c r="C24" i="12" s="1"/>
  <c r="C12" i="6"/>
  <c r="C22" i="12" s="1"/>
  <c r="C15" i="6"/>
  <c r="C13" i="6"/>
  <c r="C23" i="12" s="1"/>
  <c r="C8" i="6"/>
  <c r="C18" i="12" s="1"/>
  <c r="C11" i="6"/>
  <c r="C21" i="12" s="1"/>
  <c r="C62" i="4"/>
  <c r="B11" i="9"/>
  <c r="B3" i="7" s="1"/>
  <c r="B18" i="7" s="1"/>
  <c r="D36" i="3"/>
  <c r="H30" i="5"/>
  <c r="H17" i="5"/>
  <c r="H23" i="5"/>
  <c r="H40" i="5"/>
  <c r="D13" i="3"/>
  <c r="C16" i="6" l="1"/>
  <c r="B4" i="7" s="1"/>
  <c r="B5" i="7" s="1"/>
  <c r="C25" i="12"/>
  <c r="B14" i="7"/>
  <c r="D37" i="3"/>
  <c r="C37" i="12" s="1"/>
  <c r="C42" i="12" s="1"/>
  <c r="H41" i="5"/>
  <c r="C46" i="12" l="1"/>
  <c r="C48" i="12" s="1"/>
  <c r="C58" i="12" s="1"/>
  <c r="B6" i="7"/>
  <c r="B7" i="7" s="1"/>
  <c r="B8" i="7"/>
  <c r="B17" i="7" l="1"/>
  <c r="B22" i="7"/>
  <c r="B23" i="7" s="1"/>
  <c r="B15" i="7"/>
  <c r="B16" i="7" s="1"/>
  <c r="B9" i="7"/>
  <c r="B10" i="7"/>
  <c r="B19" i="7" l="1"/>
  <c r="B11" i="7"/>
</calcChain>
</file>

<file path=xl/sharedStrings.xml><?xml version="1.0" encoding="utf-8"?>
<sst xmlns="http://schemas.openxmlformats.org/spreadsheetml/2006/main" count="310" uniqueCount="249">
  <si>
    <t>Enter information in yellow cells only!</t>
  </si>
  <si>
    <t>Owner 1 Annual Salary</t>
  </si>
  <si>
    <t>Owner Benefits</t>
  </si>
  <si>
    <t>Self Employment Tax %</t>
  </si>
  <si>
    <t>Owner 2 Salary</t>
  </si>
  <si>
    <t>Total Ranch Owner Labor Costs</t>
  </si>
  <si>
    <t>Food, Housing</t>
  </si>
  <si>
    <t>Health Insurance, Retirement</t>
  </si>
  <si>
    <t>Workers Compensation %</t>
  </si>
  <si>
    <t>Payroll Tax %</t>
  </si>
  <si>
    <t>Loaded Labor Rate</t>
  </si>
  <si>
    <t>Operation Labor</t>
  </si>
  <si>
    <t>Business Owner Labor Costs</t>
  </si>
  <si>
    <t>Total Employee Labor Costs</t>
  </si>
  <si>
    <t>Total Labor Costs</t>
  </si>
  <si>
    <t>Hourly Labor Costs</t>
  </si>
  <si>
    <t>Herder Labor Costs</t>
  </si>
  <si>
    <t>Herder Wages</t>
  </si>
  <si>
    <t>Total Labor Costs per Herder</t>
  </si>
  <si>
    <t>Number of Herders Employed</t>
  </si>
  <si>
    <t>Total Herder Labor Costs</t>
  </si>
  <si>
    <t>Admin Fees, Travel, etc.</t>
  </si>
  <si>
    <t>Hourly Wage</t>
  </si>
  <si>
    <t>FTE</t>
  </si>
  <si>
    <t>Total Hourly Labor Costs</t>
  </si>
  <si>
    <t xml:space="preserve"> Cash Overhead Costs </t>
  </si>
  <si>
    <t>Overhead Costs</t>
  </si>
  <si>
    <t>Vehicle Fuel</t>
  </si>
  <si>
    <t>Other Fuel</t>
  </si>
  <si>
    <t>Total Fuel Expense</t>
  </si>
  <si>
    <t>Utilities: Electricity</t>
  </si>
  <si>
    <t>Utilities: Land Phone Line</t>
  </si>
  <si>
    <t>Utilities: Cell Phone</t>
  </si>
  <si>
    <t xml:space="preserve">Utilities: Internet </t>
  </si>
  <si>
    <t>Utilities: Water</t>
  </si>
  <si>
    <t>Utilities: Other</t>
  </si>
  <si>
    <t>Total Utilities</t>
  </si>
  <si>
    <t>Other</t>
  </si>
  <si>
    <t>Total Insurance</t>
  </si>
  <si>
    <t>Repairs and Maintenance: Buildings</t>
  </si>
  <si>
    <t>Repairs and Maintenance: Equipment</t>
  </si>
  <si>
    <t>Repairs and Maintenance: Other</t>
  </si>
  <si>
    <t>Total Repairs and Maintenance</t>
  </si>
  <si>
    <t>Payroll Administration</t>
  </si>
  <si>
    <t>Tax Prep and Administration</t>
  </si>
  <si>
    <t>Accounting Administration</t>
  </si>
  <si>
    <t>Legal Expenses</t>
  </si>
  <si>
    <t>Bank Expenses</t>
  </si>
  <si>
    <t>Office Supplies and Equipment</t>
  </si>
  <si>
    <t>Website</t>
  </si>
  <si>
    <t>Total Administrative Expenses</t>
  </si>
  <si>
    <t>Land Rent/Mortgage</t>
  </si>
  <si>
    <t>Property Taxes</t>
  </si>
  <si>
    <t>Land Use Expenses</t>
  </si>
  <si>
    <t>Equipment Rental</t>
  </si>
  <si>
    <t>Advertising</t>
  </si>
  <si>
    <t>Land Lease Expenses</t>
  </si>
  <si>
    <t>Misc. Overhead Ranch Expenses</t>
  </si>
  <si>
    <t>Other Dues or Fees</t>
  </si>
  <si>
    <t>Dues, Certificates, and Other Fees</t>
  </si>
  <si>
    <t>other - write name here</t>
  </si>
  <si>
    <t>Total Cash Overhead Costs</t>
  </si>
  <si>
    <t>ATV Fuel</t>
  </si>
  <si>
    <t>Vehicle Insurance and Registration</t>
  </si>
  <si>
    <t>General Liability Insurance</t>
  </si>
  <si>
    <t>Other Insurance</t>
  </si>
  <si>
    <t>Debt Service (Interest)</t>
  </si>
  <si>
    <t>Dues and Subscriptions</t>
  </si>
  <si>
    <t>Business License(s)</t>
  </si>
  <si>
    <t>Livestock Guardian Dogs</t>
  </si>
  <si>
    <t>Other Livestock Expenses (Overhead)</t>
  </si>
  <si>
    <t xml:space="preserve">Non-Cash Overhead Costs </t>
  </si>
  <si>
    <t>Non-Cash Overhead Costs</t>
  </si>
  <si>
    <t xml:space="preserve">Purchase Price </t>
  </si>
  <si>
    <t>Salvage Value</t>
  </si>
  <si>
    <t>Useful Life Span (years)</t>
  </si>
  <si>
    <t>Yearly Depreciation</t>
  </si>
  <si>
    <t>Barns</t>
  </si>
  <si>
    <t>Corrals/Working Facilities</t>
  </si>
  <si>
    <t>Worker Housing</t>
  </si>
  <si>
    <t>Total Ranch Buildings</t>
  </si>
  <si>
    <t>Ranch Trucks</t>
  </si>
  <si>
    <t>Total Ranch Vehicles</t>
  </si>
  <si>
    <t>Permanent Fence</t>
  </si>
  <si>
    <t>Temporary Fence</t>
  </si>
  <si>
    <t>Irrigation System</t>
  </si>
  <si>
    <t>Potable Water Infrastructure</t>
  </si>
  <si>
    <t>Electricity Infrastructure</t>
  </si>
  <si>
    <t>Total Ranch Infrastructure</t>
  </si>
  <si>
    <t>Tools and Equipment</t>
  </si>
  <si>
    <t>Total Hand Tools</t>
  </si>
  <si>
    <t>Livestock Non-Cash Overheads</t>
  </si>
  <si>
    <t>Total Non-Cash Overhead Expenses</t>
  </si>
  <si>
    <t>Total Yearly Depreciation</t>
  </si>
  <si>
    <t>ATVs</t>
  </si>
  <si>
    <t>Water Trailers</t>
  </si>
  <si>
    <t>Stock Trailers</t>
  </si>
  <si>
    <t>Other - write name here</t>
  </si>
  <si>
    <t>Breeding Livestock</t>
  </si>
  <si>
    <t>Herding Dogs</t>
  </si>
  <si>
    <t>Livestock Protection Animals</t>
  </si>
  <si>
    <t>Total Livestock/Animals</t>
  </si>
  <si>
    <t>Category</t>
  </si>
  <si>
    <t>Amount</t>
  </si>
  <si>
    <t>Animal Health</t>
  </si>
  <si>
    <t>Transportation</t>
  </si>
  <si>
    <t>Shearing</t>
  </si>
  <si>
    <t>Livestock ID (ear tags, etc.)</t>
  </si>
  <si>
    <t>Direct Cost Worksheet</t>
  </si>
  <si>
    <r>
      <t xml:space="preserve">Costs that change directly as the units of production change are </t>
    </r>
    <r>
      <rPr>
        <b/>
        <sz val="11"/>
        <color theme="1"/>
        <rFont val="Calibri"/>
        <family val="2"/>
        <scheme val="minor"/>
      </rPr>
      <t>DIRECT</t>
    </r>
    <r>
      <rPr>
        <sz val="11"/>
        <color theme="1"/>
        <rFont val="Calibri"/>
        <family val="2"/>
        <scheme val="minor"/>
      </rPr>
      <t xml:space="preserve"> or </t>
    </r>
    <r>
      <rPr>
        <b/>
        <sz val="11"/>
        <color theme="1"/>
        <rFont val="Calibri"/>
        <family val="2"/>
        <scheme val="minor"/>
      </rPr>
      <t>VARIABLE</t>
    </r>
    <r>
      <rPr>
        <sz val="11"/>
        <color theme="1"/>
        <rFont val="Calibri"/>
        <family val="2"/>
        <scheme val="minor"/>
      </rPr>
      <t xml:space="preserve"> costs.</t>
    </r>
  </si>
  <si>
    <t>Feed (hay, grain, etc.)</t>
  </si>
  <si>
    <t>Supplement (minerals, protein)</t>
  </si>
  <si>
    <t>Marketing (commission, yardage)</t>
  </si>
  <si>
    <t>Total Direct Costs</t>
  </si>
  <si>
    <t>Gross Revenue Worksheet</t>
  </si>
  <si>
    <t>Targeted Grazing Income</t>
  </si>
  <si>
    <t>Livestock Sales</t>
  </si>
  <si>
    <t>Dogs</t>
  </si>
  <si>
    <t>Gross revenue includes income from targeted grazing and sales of livestock.</t>
  </si>
  <si>
    <t>Other Revenue</t>
  </si>
  <si>
    <t>Gross Revenue</t>
  </si>
  <si>
    <t>Profitability Analysis</t>
  </si>
  <si>
    <t>Direct Costs</t>
  </si>
  <si>
    <t>Opportunity Cost (10% of Direct Costs)</t>
  </si>
  <si>
    <t>Gross Margin</t>
  </si>
  <si>
    <t>Gross Margin Ratio</t>
  </si>
  <si>
    <t>Overhead Ratio</t>
  </si>
  <si>
    <t>Profit (Loss)</t>
  </si>
  <si>
    <t>Days on Projects</t>
  </si>
  <si>
    <t>Estimated days on projects (per year)</t>
  </si>
  <si>
    <t>Average per acre fee</t>
  </si>
  <si>
    <t>Total Grazing Revenue</t>
  </si>
  <si>
    <t>Estimated acres grazed per day (during contract season)</t>
  </si>
  <si>
    <t>Estimated total acres</t>
  </si>
  <si>
    <t>Gross Revenue/Day on Projects</t>
  </si>
  <si>
    <t>Total Cost/Day on Projects</t>
  </si>
  <si>
    <t>Species</t>
  </si>
  <si>
    <t>Animal Class</t>
  </si>
  <si>
    <t>Opening Number</t>
  </si>
  <si>
    <t>Births this Year</t>
  </si>
  <si>
    <t>Purchases</t>
  </si>
  <si>
    <t>Sales</t>
  </si>
  <si>
    <t>Deaths</t>
  </si>
  <si>
    <t>Transfers Out</t>
  </si>
  <si>
    <t>Transfers In</t>
  </si>
  <si>
    <t>Closing Number</t>
  </si>
  <si>
    <t>Sheep</t>
  </si>
  <si>
    <t>Ewes</t>
  </si>
  <si>
    <t>Yearling Ewes</t>
  </si>
  <si>
    <t>Ewe Lambs</t>
  </si>
  <si>
    <t>Wethers</t>
  </si>
  <si>
    <t>Rams</t>
  </si>
  <si>
    <t>Goats</t>
  </si>
  <si>
    <t>Does</t>
  </si>
  <si>
    <t>Yearling Does</t>
  </si>
  <si>
    <t>Doelings</t>
  </si>
  <si>
    <t>Bucks</t>
  </si>
  <si>
    <t>TOTAL</t>
  </si>
  <si>
    <t>Number of Grazing Animals</t>
  </si>
  <si>
    <t>Total</t>
  </si>
  <si>
    <t>Unit Cost</t>
  </si>
  <si>
    <t>Total Livestock (mature animals)</t>
  </si>
  <si>
    <t>Class of Animal</t>
  </si>
  <si>
    <t>Opening #</t>
  </si>
  <si>
    <t>Closing #</t>
  </si>
  <si>
    <t>Sales of Livestock</t>
  </si>
  <si>
    <t>Number Sold</t>
  </si>
  <si>
    <t>Ave Live Wt</t>
  </si>
  <si>
    <t>Price/Lb</t>
  </si>
  <si>
    <t>Revenue/Hd</t>
  </si>
  <si>
    <t>Subtotal</t>
  </si>
  <si>
    <t>Total Sales</t>
  </si>
  <si>
    <t>Livestock Asset Value</t>
  </si>
  <si>
    <t>Value/Hd</t>
  </si>
  <si>
    <t>Closing Value</t>
  </si>
  <si>
    <t>Opening Value</t>
  </si>
  <si>
    <t>Wether Lambs</t>
  </si>
  <si>
    <t>Wether Kids</t>
  </si>
  <si>
    <t>Livestock</t>
  </si>
  <si>
    <t>Cost per Acre Grazed</t>
  </si>
  <si>
    <t>Revenue per Acre Grazed</t>
  </si>
  <si>
    <t>Gross Product (Revenue)</t>
  </si>
  <si>
    <t>Profit per Acre Grazed</t>
  </si>
  <si>
    <t>Profit Ratio</t>
  </si>
  <si>
    <t>Benchmarks</t>
  </si>
  <si>
    <t>Profit per Day Grazed</t>
  </si>
  <si>
    <t>Days on Projects (Breakeven)</t>
  </si>
  <si>
    <t>Purchases of Livestock</t>
  </si>
  <si>
    <t>Change in Livestock Asset Value</t>
  </si>
  <si>
    <t>Average Grazing Revenue per Day</t>
  </si>
  <si>
    <t>Total Expenses less Livestock Sales</t>
  </si>
  <si>
    <t>Montly Cash Flow Budget</t>
  </si>
  <si>
    <t>Jan 1 through Dec 31</t>
  </si>
  <si>
    <t>Annual Budget</t>
  </si>
  <si>
    <t>Jan Budget</t>
  </si>
  <si>
    <t>Jan Actual</t>
  </si>
  <si>
    <t>Feb Budget</t>
  </si>
  <si>
    <t>Feb Actual</t>
  </si>
  <si>
    <t>Mar Budget</t>
  </si>
  <si>
    <t>Mar Actual</t>
  </si>
  <si>
    <t>Apr Budget</t>
  </si>
  <si>
    <t>Apr Actual</t>
  </si>
  <si>
    <t>May Budget</t>
  </si>
  <si>
    <t>May Actual</t>
  </si>
  <si>
    <t>Jun Budget</t>
  </si>
  <si>
    <t>Jun Actual</t>
  </si>
  <si>
    <t>Jul Budget</t>
  </si>
  <si>
    <t>Jul Actual</t>
  </si>
  <si>
    <t>Aug Budget</t>
  </si>
  <si>
    <t>Aug Actual</t>
  </si>
  <si>
    <t>Sep Budget</t>
  </si>
  <si>
    <t>Sep Actual</t>
  </si>
  <si>
    <t>Oct Budget</t>
  </si>
  <si>
    <t>Oct Actual</t>
  </si>
  <si>
    <t>Nov Budget</t>
  </si>
  <si>
    <t>Nov Actual</t>
  </si>
  <si>
    <t>Dec Budget</t>
  </si>
  <si>
    <t>Dec Actual</t>
  </si>
  <si>
    <t>Total Budget</t>
  </si>
  <si>
    <t>Total Actual</t>
  </si>
  <si>
    <t>Difference</t>
  </si>
  <si>
    <t>Beginning Cash Balance</t>
  </si>
  <si>
    <t>Total Cash Receipts</t>
  </si>
  <si>
    <t>Cash Expenses - Direct</t>
  </si>
  <si>
    <t>Cash Expenses - Overhead</t>
  </si>
  <si>
    <t>Term Loans</t>
  </si>
  <si>
    <t>Principle</t>
  </si>
  <si>
    <t>Interest</t>
  </si>
  <si>
    <t>Total Overhead Costs</t>
  </si>
  <si>
    <t>Capital Expenses</t>
  </si>
  <si>
    <t>Total Cash Required</t>
  </si>
  <si>
    <t>Cash Position Before Borrowing</t>
  </si>
  <si>
    <t>Money Borrowed</t>
  </si>
  <si>
    <t>Operating</t>
  </si>
  <si>
    <t>Payments on Operating Loan</t>
  </si>
  <si>
    <t>Ending Cash Balance</t>
  </si>
  <si>
    <t>BUSINESS NAME</t>
  </si>
  <si>
    <t>Grazing Revenue</t>
  </si>
  <si>
    <t>Dog Expenses</t>
  </si>
  <si>
    <t>Labor</t>
  </si>
  <si>
    <t>To use this Sample Budget and Economic Analysis Tool, start by completing the Livestock Inventory in the first tab.</t>
  </si>
  <si>
    <t>In the next tabs, add your operation-specific data in the yellow cells. The other cells will calculate automatically.</t>
  </si>
  <si>
    <t>For assistance, please contact Dan Macon at dmacon@ucanr.edu</t>
  </si>
  <si>
    <t>Targeted Grazing Sample Budget and Economic Analysis Tool</t>
  </si>
  <si>
    <t>Developed by</t>
  </si>
  <si>
    <t>Dan Macon</t>
  </si>
  <si>
    <t>Livestock and Natural Resources Advisor</t>
  </si>
  <si>
    <t>UC Cooperative Extension - Central Sierra</t>
  </si>
  <si>
    <t>dmacon@ucanr.edu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</si>
</sst>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quot;$&quot;* #,##0_);_(&quot;$&quot;* \(#,##0\);_(&quot;$&quot;* &quot;-&quot;??_);_(@_)"/>
    <numFmt numFmtId="167" formatCode="&quot;$&quot;#,##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i/>
      <sz val="12"/>
      <color theme="1"/>
      <name val="Calibri"/>
      <family val="2"/>
      <scheme val="minor"/>
    </font>
    <font>
      <u/>
      <sz val="11"/>
      <color theme="10"/>
      <name val="Calibri"/>
      <family val="2"/>
    </font>
    <font>
      <u/>
      <sz val="12"/>
      <color theme="10"/>
      <name val="Calibri"/>
      <family val="2"/>
    </font>
    <font>
      <sz val="20"/>
      <color theme="1"/>
      <name val="Calibri"/>
      <family val="2"/>
      <scheme val="minor"/>
    </font>
    <font>
      <sz val="22"/>
      <color theme="1"/>
      <name val="Calibri"/>
      <family val="2"/>
      <scheme val="minor"/>
    </font>
    <font>
      <b/>
      <sz val="16"/>
      <color theme="1"/>
      <name val="Calibri"/>
      <family val="2"/>
      <scheme val="minor"/>
    </font>
    <font>
      <u/>
      <sz val="16"/>
      <color theme="10"/>
      <name val="Calibri"/>
      <family val="2"/>
    </font>
    <font>
      <sz val="18"/>
      <color rgb="FFC00000"/>
      <name val="Calibri"/>
      <family val="2"/>
      <scheme val="minor"/>
    </font>
    <font>
      <u/>
      <sz val="18"/>
      <color theme="1"/>
      <name val="Calibri"/>
      <family val="2"/>
      <scheme val="minor"/>
    </font>
    <font>
      <sz val="18"/>
      <color theme="1"/>
      <name val="Calibri"/>
      <family val="2"/>
      <scheme val="minor"/>
    </font>
    <font>
      <sz val="14"/>
      <name val="Calibri"/>
      <family val="2"/>
      <scheme val="minor"/>
    </font>
    <font>
      <u/>
      <sz val="14"/>
      <color theme="10"/>
      <name val="Calibri"/>
      <family val="2"/>
    </font>
    <font>
      <b/>
      <i/>
      <sz val="11"/>
      <color theme="1"/>
      <name val="Calibri"/>
      <family val="2"/>
      <scheme val="minor"/>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9CC00"/>
        <bgColor indexed="64"/>
      </patternFill>
    </fill>
    <fill>
      <patternFill patternType="solid">
        <fgColor rgb="FF92D050"/>
        <bgColor indexed="64"/>
      </patternFill>
    </fill>
    <fill>
      <patternFill patternType="solid">
        <fgColor theme="0" tint="-0.14999847407452621"/>
        <bgColor indexed="64"/>
      </patternFill>
    </fill>
  </fills>
  <borders count="5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right/>
      <top style="thin">
        <color auto="1"/>
      </top>
      <bottom/>
      <diagonal/>
    </border>
    <border>
      <left/>
      <right/>
      <top style="medium">
        <color auto="1"/>
      </top>
      <bottom style="medium">
        <color auto="1"/>
      </bottom>
      <diagonal/>
    </border>
    <border>
      <left style="medium">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auto="1"/>
      </top>
      <bottom/>
      <diagonal/>
    </border>
    <border>
      <left/>
      <right style="medium">
        <color auto="1"/>
      </right>
      <top style="medium">
        <color auto="1"/>
      </top>
      <bottom style="thin">
        <color auto="1"/>
      </bottom>
      <diagonal/>
    </border>
    <border>
      <left style="thin">
        <color auto="1"/>
      </left>
      <right style="medium">
        <color auto="1"/>
      </right>
      <top/>
      <bottom/>
      <diagonal/>
    </border>
    <border>
      <left style="medium">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312">
    <xf numFmtId="0" fontId="0" fillId="0" borderId="0" xfId="0"/>
    <xf numFmtId="0" fontId="3" fillId="0" borderId="0" xfId="0" applyFont="1"/>
    <xf numFmtId="0" fontId="4" fillId="0" borderId="0" xfId="0" applyFont="1"/>
    <xf numFmtId="0" fontId="5" fillId="0" borderId="0" xfId="0" applyFont="1" applyBorder="1" applyAlignment="1"/>
    <xf numFmtId="0" fontId="5" fillId="0" borderId="0" xfId="0" applyFont="1"/>
    <xf numFmtId="0" fontId="5" fillId="3" borderId="0" xfId="0" applyFont="1" applyFill="1" applyBorder="1" applyAlignment="1">
      <alignment horizontal="left"/>
    </xf>
    <xf numFmtId="0" fontId="6" fillId="0" borderId="0" xfId="0" applyFont="1"/>
    <xf numFmtId="0" fontId="3" fillId="0" borderId="6" xfId="0" applyFont="1" applyBorder="1"/>
    <xf numFmtId="0" fontId="3" fillId="0" borderId="7" xfId="0" applyFont="1" applyBorder="1"/>
    <xf numFmtId="164" fontId="3" fillId="4" borderId="8" xfId="0" applyNumberFormat="1" applyFont="1" applyFill="1" applyBorder="1" applyProtection="1">
      <protection locked="0"/>
    </xf>
    <xf numFmtId="0" fontId="3" fillId="0" borderId="9" xfId="0" applyFont="1" applyBorder="1"/>
    <xf numFmtId="0" fontId="3" fillId="0" borderId="4" xfId="0" applyFont="1" applyBorder="1"/>
    <xf numFmtId="164" fontId="3" fillId="4" borderId="10" xfId="0" applyNumberFormat="1" applyFont="1" applyFill="1" applyBorder="1" applyProtection="1">
      <protection locked="0"/>
    </xf>
    <xf numFmtId="0" fontId="3" fillId="0" borderId="11" xfId="0" applyFont="1" applyBorder="1"/>
    <xf numFmtId="165" fontId="3" fillId="4" borderId="12" xfId="0" applyNumberFormat="1" applyFont="1" applyFill="1" applyBorder="1" applyProtection="1">
      <protection locked="0"/>
    </xf>
    <xf numFmtId="164" fontId="3" fillId="0" borderId="10" xfId="0" applyNumberFormat="1" applyFont="1" applyBorder="1"/>
    <xf numFmtId="0" fontId="3" fillId="0" borderId="13" xfId="0" applyFont="1" applyBorder="1"/>
    <xf numFmtId="0" fontId="3" fillId="0" borderId="12" xfId="0" applyFont="1" applyBorder="1"/>
    <xf numFmtId="0" fontId="3" fillId="0" borderId="14" xfId="0" applyFont="1" applyBorder="1"/>
    <xf numFmtId="0" fontId="0" fillId="0" borderId="0" xfId="0" applyFont="1"/>
    <xf numFmtId="165" fontId="3" fillId="3" borderId="15" xfId="0" applyNumberFormat="1" applyFont="1" applyFill="1" applyBorder="1"/>
    <xf numFmtId="164" fontId="3" fillId="0" borderId="16" xfId="0" applyNumberFormat="1" applyFont="1" applyBorder="1"/>
    <xf numFmtId="0" fontId="7" fillId="0" borderId="0" xfId="0" applyFont="1" applyAlignment="1">
      <alignment horizontal="right"/>
    </xf>
    <xf numFmtId="164" fontId="7" fillId="0" borderId="0" xfId="0" applyNumberFormat="1" applyFont="1"/>
    <xf numFmtId="0" fontId="8" fillId="0" borderId="0" xfId="0" applyFont="1"/>
    <xf numFmtId="0" fontId="6" fillId="0" borderId="0" xfId="0" applyFont="1" applyFill="1" applyBorder="1"/>
    <xf numFmtId="0" fontId="3" fillId="3" borderId="17" xfId="0" applyFont="1" applyFill="1" applyBorder="1" applyAlignment="1">
      <alignment horizontal="left"/>
    </xf>
    <xf numFmtId="0" fontId="3" fillId="0" borderId="18" xfId="0" applyFont="1" applyBorder="1"/>
    <xf numFmtId="164" fontId="3" fillId="4" borderId="8" xfId="2" applyNumberFormat="1" applyFont="1" applyFill="1" applyBorder="1" applyProtection="1">
      <protection locked="0"/>
    </xf>
    <xf numFmtId="0" fontId="3" fillId="0" borderId="19" xfId="0" applyFont="1" applyFill="1" applyBorder="1" applyAlignment="1">
      <alignment horizontal="left"/>
    </xf>
    <xf numFmtId="0" fontId="3" fillId="0" borderId="0" xfId="0" applyFont="1" applyBorder="1"/>
    <xf numFmtId="164" fontId="3" fillId="4" borderId="10" xfId="1" applyNumberFormat="1" applyFont="1" applyFill="1" applyBorder="1" applyProtection="1">
      <protection locked="0"/>
    </xf>
    <xf numFmtId="0" fontId="3" fillId="0" borderId="19" xfId="0" applyFont="1" applyBorder="1" applyAlignment="1"/>
    <xf numFmtId="0" fontId="3" fillId="0" borderId="20" xfId="0" applyFont="1" applyBorder="1"/>
    <xf numFmtId="165" fontId="3" fillId="4" borderId="15" xfId="0" applyNumberFormat="1" applyFont="1" applyFill="1" applyBorder="1" applyProtection="1">
      <protection locked="0"/>
    </xf>
    <xf numFmtId="164" fontId="3" fillId="0" borderId="20" xfId="0" applyNumberFormat="1" applyFont="1" applyBorder="1"/>
    <xf numFmtId="0" fontId="9" fillId="0" borderId="19" xfId="0" applyFont="1" applyBorder="1" applyAlignment="1"/>
    <xf numFmtId="164" fontId="9" fillId="0" borderId="15" xfId="0" applyNumberFormat="1" applyFont="1" applyBorder="1"/>
    <xf numFmtId="0" fontId="3" fillId="3" borderId="21" xfId="0" applyFont="1" applyFill="1" applyBorder="1" applyAlignment="1">
      <alignment horizontal="left"/>
    </xf>
    <xf numFmtId="0" fontId="3" fillId="0" borderId="22" xfId="0" applyFont="1" applyBorder="1"/>
    <xf numFmtId="8" fontId="3" fillId="3" borderId="23" xfId="2" applyNumberFormat="1" applyFont="1" applyFill="1" applyBorder="1" applyProtection="1"/>
    <xf numFmtId="0" fontId="3" fillId="0" borderId="0" xfId="0" applyFont="1" applyBorder="1" applyAlignment="1"/>
    <xf numFmtId="164" fontId="7" fillId="0" borderId="0" xfId="0" applyNumberFormat="1" applyFont="1" applyBorder="1"/>
    <xf numFmtId="0" fontId="0" fillId="0" borderId="0" xfId="0" applyBorder="1"/>
    <xf numFmtId="0" fontId="4" fillId="0" borderId="0" xfId="0" applyFont="1" applyBorder="1"/>
    <xf numFmtId="0" fontId="11" fillId="0" borderId="0" xfId="4" applyFont="1" applyAlignment="1" applyProtection="1"/>
    <xf numFmtId="0" fontId="3" fillId="0" borderId="15" xfId="0" applyFont="1" applyBorder="1"/>
    <xf numFmtId="0" fontId="3" fillId="0" borderId="24" xfId="0" applyFont="1" applyBorder="1"/>
    <xf numFmtId="0" fontId="3" fillId="3" borderId="19" xfId="0" applyFont="1" applyFill="1" applyBorder="1" applyAlignment="1">
      <alignment horizontal="left"/>
    </xf>
    <xf numFmtId="8" fontId="3" fillId="3" borderId="10" xfId="2" applyNumberFormat="1" applyFont="1" applyFill="1" applyBorder="1" applyProtection="1"/>
    <xf numFmtId="0" fontId="3" fillId="0" borderId="25" xfId="0" applyFont="1" applyBorder="1"/>
    <xf numFmtId="0" fontId="3" fillId="4" borderId="15" xfId="0" applyFont="1" applyFill="1" applyBorder="1"/>
    <xf numFmtId="2" fontId="3" fillId="4" borderId="15" xfId="0" applyNumberFormat="1" applyFont="1" applyFill="1" applyBorder="1" applyProtection="1">
      <protection locked="0"/>
    </xf>
    <xf numFmtId="0" fontId="0" fillId="0" borderId="0" xfId="0" applyBorder="1" applyAlignment="1"/>
    <xf numFmtId="0" fontId="12" fillId="0" borderId="0" xfId="0" applyFont="1" applyBorder="1" applyAlignment="1"/>
    <xf numFmtId="0" fontId="13" fillId="0" borderId="0" xfId="0" applyFont="1" applyBorder="1" applyAlignment="1"/>
    <xf numFmtId="0" fontId="0" fillId="0" borderId="0" xfId="0" applyAlignment="1">
      <alignment horizontal="right"/>
    </xf>
    <xf numFmtId="0" fontId="4" fillId="0" borderId="15" xfId="0" applyFont="1" applyBorder="1" applyAlignment="1">
      <alignment horizontal="left"/>
    </xf>
    <xf numFmtId="164" fontId="4" fillId="4" borderId="15" xfId="0" applyNumberFormat="1" applyFont="1" applyFill="1" applyBorder="1" applyProtection="1">
      <protection locked="0"/>
    </xf>
    <xf numFmtId="0" fontId="6" fillId="6" borderId="15" xfId="0" applyFont="1" applyFill="1" applyBorder="1" applyAlignment="1">
      <alignment horizontal="right"/>
    </xf>
    <xf numFmtId="164" fontId="6" fillId="6" borderId="15" xfId="0" applyNumberFormat="1" applyFont="1" applyFill="1" applyBorder="1"/>
    <xf numFmtId="0" fontId="0" fillId="3" borderId="0" xfId="0" applyFill="1" applyBorder="1"/>
    <xf numFmtId="0" fontId="0" fillId="3" borderId="0" xfId="0" applyFill="1"/>
    <xf numFmtId="164" fontId="14" fillId="3" borderId="0" xfId="0" applyNumberFormat="1" applyFont="1" applyFill="1"/>
    <xf numFmtId="0" fontId="6" fillId="3" borderId="0" xfId="0" applyFont="1" applyFill="1" applyBorder="1" applyAlignment="1">
      <alignment horizontal="center"/>
    </xf>
    <xf numFmtId="0" fontId="4" fillId="3" borderId="0" xfId="0" applyFont="1" applyFill="1" applyBorder="1"/>
    <xf numFmtId="164" fontId="0" fillId="3" borderId="0" xfId="0" applyNumberFormat="1" applyFill="1" applyBorder="1"/>
    <xf numFmtId="164" fontId="4" fillId="3" borderId="0" xfId="0" applyNumberFormat="1" applyFont="1" applyFill="1" applyBorder="1"/>
    <xf numFmtId="0" fontId="6" fillId="7" borderId="15" xfId="0" applyFont="1" applyFill="1" applyBorder="1" applyAlignment="1">
      <alignment horizontal="right"/>
    </xf>
    <xf numFmtId="164" fontId="6" fillId="7" borderId="15" xfId="0" applyNumberFormat="1" applyFont="1" applyFill="1" applyBorder="1"/>
    <xf numFmtId="164" fontId="14" fillId="3" borderId="0" xfId="0" applyNumberFormat="1" applyFont="1" applyFill="1" applyBorder="1"/>
    <xf numFmtId="0" fontId="4" fillId="3" borderId="15" xfId="0" applyFont="1" applyFill="1" applyBorder="1" applyAlignment="1">
      <alignment horizontal="left"/>
    </xf>
    <xf numFmtId="0" fontId="4" fillId="0" borderId="15" xfId="0" applyFont="1" applyFill="1" applyBorder="1" applyAlignment="1">
      <alignment horizontal="left"/>
    </xf>
    <xf numFmtId="0" fontId="4" fillId="4" borderId="15" xfId="0" applyFont="1" applyFill="1" applyBorder="1" applyAlignment="1" applyProtection="1">
      <protection locked="0"/>
    </xf>
    <xf numFmtId="164" fontId="4" fillId="4" borderId="15" xfId="1" applyNumberFormat="1" applyFont="1" applyFill="1" applyBorder="1" applyAlignment="1" applyProtection="1">
      <alignment horizontal="right"/>
      <protection locked="0"/>
    </xf>
    <xf numFmtId="0" fontId="6" fillId="7" borderId="15" xfId="0" applyFont="1" applyFill="1" applyBorder="1" applyAlignment="1" applyProtection="1">
      <alignment horizontal="right"/>
      <protection locked="0"/>
    </xf>
    <xf numFmtId="0" fontId="6" fillId="0" borderId="0" xfId="0" applyFont="1" applyBorder="1" applyAlignment="1">
      <alignment horizontal="right"/>
    </xf>
    <xf numFmtId="164" fontId="6" fillId="0" borderId="0" xfId="1" applyNumberFormat="1" applyFont="1" applyBorder="1"/>
    <xf numFmtId="0" fontId="11" fillId="3" borderId="0" xfId="4" applyFont="1" applyFill="1" applyBorder="1" applyAlignment="1" applyProtection="1">
      <protection locked="0"/>
    </xf>
    <xf numFmtId="0" fontId="0" fillId="0" borderId="0" xfId="0" applyBorder="1" applyProtection="1"/>
    <xf numFmtId="0" fontId="11" fillId="0" borderId="0" xfId="4" applyFont="1" applyBorder="1" applyAlignment="1" applyProtection="1">
      <protection locked="0"/>
    </xf>
    <xf numFmtId="0" fontId="15" fillId="0" borderId="0" xfId="4" applyFont="1" applyBorder="1" applyAlignment="1" applyProtection="1">
      <protection locked="0"/>
    </xf>
    <xf numFmtId="0" fontId="15" fillId="0" borderId="0" xfId="4" applyFont="1" applyBorder="1" applyAlignment="1" applyProtection="1"/>
    <xf numFmtId="0" fontId="16" fillId="0" borderId="0" xfId="0" applyFont="1" applyAlignment="1"/>
    <xf numFmtId="0" fontId="17" fillId="0" borderId="0" xfId="0" applyFont="1"/>
    <xf numFmtId="0" fontId="18" fillId="0" borderId="3" xfId="0" applyFont="1" applyBorder="1" applyAlignment="1"/>
    <xf numFmtId="0" fontId="18" fillId="0" borderId="4" xfId="0" applyFont="1" applyBorder="1" applyAlignment="1"/>
    <xf numFmtId="0" fontId="18" fillId="0" borderId="5" xfId="0" applyFont="1" applyBorder="1" applyAlignment="1"/>
    <xf numFmtId="0" fontId="0" fillId="0" borderId="0" xfId="0" applyFont="1" applyAlignment="1"/>
    <xf numFmtId="0" fontId="4" fillId="5" borderId="26" xfId="0" applyFont="1" applyFill="1" applyBorder="1" applyAlignment="1">
      <alignment wrapText="1"/>
    </xf>
    <xf numFmtId="43" fontId="4" fillId="5" borderId="27" xfId="1" applyFont="1" applyFill="1" applyBorder="1" applyAlignment="1">
      <alignment horizontal="right" wrapText="1"/>
    </xf>
    <xf numFmtId="43" fontId="4" fillId="5" borderId="28" xfId="1" applyFont="1" applyFill="1" applyBorder="1" applyAlignment="1">
      <alignment horizontal="right" wrapText="1"/>
    </xf>
    <xf numFmtId="0" fontId="4" fillId="0" borderId="11" xfId="0" applyFont="1" applyFill="1" applyBorder="1" applyAlignment="1"/>
    <xf numFmtId="164" fontId="4" fillId="4" borderId="29" xfId="1" applyNumberFormat="1" applyFont="1" applyFill="1" applyBorder="1" applyAlignment="1" applyProtection="1">
      <alignment horizontal="right"/>
      <protection locked="0"/>
    </xf>
    <xf numFmtId="164" fontId="4" fillId="0" borderId="30" xfId="1" applyNumberFormat="1" applyFont="1" applyFill="1" applyBorder="1" applyAlignment="1">
      <alignment horizontal="right"/>
    </xf>
    <xf numFmtId="0" fontId="4" fillId="0" borderId="19" xfId="0" applyFont="1" applyFill="1" applyBorder="1" applyAlignment="1"/>
    <xf numFmtId="0" fontId="0" fillId="3" borderId="0" xfId="0" applyFont="1" applyFill="1"/>
    <xf numFmtId="0" fontId="4" fillId="4" borderId="31" xfId="0" applyFont="1" applyFill="1" applyBorder="1" applyAlignment="1" applyProtection="1">
      <protection locked="0"/>
    </xf>
    <xf numFmtId="164" fontId="4" fillId="4" borderId="32" xfId="1" applyNumberFormat="1" applyFont="1" applyFill="1" applyBorder="1" applyAlignment="1" applyProtection="1">
      <alignment horizontal="right"/>
      <protection locked="0"/>
    </xf>
    <xf numFmtId="164" fontId="4" fillId="4" borderId="33" xfId="1" applyNumberFormat="1" applyFont="1" applyFill="1" applyBorder="1" applyAlignment="1" applyProtection="1">
      <alignment horizontal="right"/>
      <protection locked="0"/>
    </xf>
    <xf numFmtId="0" fontId="4" fillId="7" borderId="26" xfId="0" applyFont="1" applyFill="1" applyBorder="1" applyAlignment="1">
      <alignment horizontal="right"/>
    </xf>
    <xf numFmtId="164" fontId="4" fillId="7" borderId="27" xfId="1" applyNumberFormat="1" applyFont="1" applyFill="1" applyBorder="1" applyAlignment="1">
      <alignment horizontal="right"/>
    </xf>
    <xf numFmtId="164" fontId="4" fillId="7" borderId="28" xfId="1" applyNumberFormat="1" applyFont="1" applyFill="1" applyBorder="1" applyAlignment="1">
      <alignment horizontal="right"/>
    </xf>
    <xf numFmtId="0" fontId="19" fillId="6" borderId="26" xfId="0" applyFont="1" applyFill="1" applyBorder="1" applyAlignment="1">
      <alignment horizontal="right"/>
    </xf>
    <xf numFmtId="164" fontId="19" fillId="6" borderId="27" xfId="1" applyNumberFormat="1" applyFont="1" applyFill="1" applyBorder="1" applyAlignment="1">
      <alignment horizontal="right"/>
    </xf>
    <xf numFmtId="164" fontId="19" fillId="6" borderId="34" xfId="1" applyNumberFormat="1" applyFont="1" applyFill="1" applyBorder="1" applyAlignment="1">
      <alignment horizontal="right"/>
    </xf>
    <xf numFmtId="164" fontId="19" fillId="6" borderId="28" xfId="1" applyNumberFormat="1" applyFont="1" applyFill="1" applyBorder="1" applyAlignment="1">
      <alignment horizontal="right"/>
    </xf>
    <xf numFmtId="164" fontId="4" fillId="7" borderId="34" xfId="1" applyNumberFormat="1" applyFont="1" applyFill="1" applyBorder="1" applyAlignment="1">
      <alignment horizontal="right"/>
    </xf>
    <xf numFmtId="0" fontId="4" fillId="3" borderId="31" xfId="0" applyFont="1" applyFill="1" applyBorder="1" applyAlignment="1" applyProtection="1"/>
    <xf numFmtId="0" fontId="6" fillId="0" borderId="26" xfId="0" applyFont="1" applyBorder="1" applyAlignment="1"/>
    <xf numFmtId="164" fontId="6" fillId="0" borderId="27" xfId="0" applyNumberFormat="1" applyFont="1" applyBorder="1"/>
    <xf numFmtId="164" fontId="6" fillId="0" borderId="34" xfId="0" applyNumberFormat="1" applyFont="1" applyBorder="1"/>
    <xf numFmtId="164" fontId="6" fillId="0" borderId="2" xfId="0" applyNumberFormat="1" applyFont="1" applyBorder="1" applyAlignment="1">
      <alignment horizontal="right"/>
    </xf>
    <xf numFmtId="0" fontId="20" fillId="3" borderId="0" xfId="4" applyFont="1" applyFill="1" applyBorder="1" applyAlignment="1" applyProtection="1">
      <protection locked="0"/>
    </xf>
    <xf numFmtId="0" fontId="0" fillId="0" borderId="0" xfId="0" applyFont="1" applyBorder="1"/>
    <xf numFmtId="0" fontId="0" fillId="0" borderId="19" xfId="0" applyBorder="1"/>
    <xf numFmtId="0" fontId="0" fillId="0" borderId="10" xfId="0" applyBorder="1"/>
    <xf numFmtId="0" fontId="2" fillId="0" borderId="19" xfId="0" applyFont="1" applyBorder="1"/>
    <xf numFmtId="0" fontId="0" fillId="0" borderId="31" xfId="0" applyBorder="1"/>
    <xf numFmtId="0" fontId="2" fillId="0" borderId="26" xfId="0" applyFont="1" applyFill="1" applyBorder="1"/>
    <xf numFmtId="166" fontId="0" fillId="4" borderId="10" xfId="2" applyNumberFormat="1" applyFont="1" applyFill="1" applyBorder="1"/>
    <xf numFmtId="166" fontId="0" fillId="4" borderId="36" xfId="2" applyNumberFormat="1" applyFont="1" applyFill="1" applyBorder="1"/>
    <xf numFmtId="166" fontId="2" fillId="0" borderId="28" xfId="2" applyNumberFormat="1" applyFont="1" applyBorder="1"/>
    <xf numFmtId="0" fontId="0" fillId="0" borderId="19" xfId="0" applyBorder="1" applyAlignment="1">
      <alignment horizontal="right"/>
    </xf>
    <xf numFmtId="0" fontId="0" fillId="0" borderId="19" xfId="0" applyBorder="1" applyAlignment="1">
      <alignment horizontal="left"/>
    </xf>
    <xf numFmtId="0" fontId="0" fillId="0" borderId="31" xfId="0" applyBorder="1" applyAlignment="1">
      <alignment horizontal="left"/>
    </xf>
    <xf numFmtId="0" fontId="2" fillId="0" borderId="26" xfId="0" applyFont="1" applyBorder="1" applyAlignment="1">
      <alignment horizontal="left"/>
    </xf>
    <xf numFmtId="166" fontId="0" fillId="0" borderId="10" xfId="2" applyNumberFormat="1" applyFont="1" applyBorder="1"/>
    <xf numFmtId="164" fontId="6" fillId="7" borderId="15" xfId="1" applyNumberFormat="1" applyFont="1" applyFill="1" applyBorder="1" applyAlignment="1" applyProtection="1">
      <alignment horizontal="right"/>
      <protection locked="0"/>
    </xf>
    <xf numFmtId="166" fontId="0" fillId="0" borderId="10" xfId="2" applyNumberFormat="1" applyFont="1" applyFill="1" applyBorder="1"/>
    <xf numFmtId="0" fontId="0" fillId="0" borderId="0" xfId="0" applyAlignment="1">
      <alignment wrapText="1"/>
    </xf>
    <xf numFmtId="0" fontId="0" fillId="0" borderId="0" xfId="0" applyAlignment="1">
      <alignment horizontal="center" vertical="top" wrapText="1"/>
    </xf>
    <xf numFmtId="0" fontId="2" fillId="0" borderId="0" xfId="0" applyFont="1" applyAlignment="1">
      <alignment horizontal="center" vertical="top" wrapText="1"/>
    </xf>
    <xf numFmtId="0" fontId="2" fillId="0" borderId="0" xfId="0" applyFont="1"/>
    <xf numFmtId="0" fontId="21" fillId="0" borderId="0" xfId="0" applyFont="1" applyAlignment="1">
      <alignment horizontal="center" vertical="top" wrapText="1"/>
    </xf>
    <xf numFmtId="0" fontId="21" fillId="0" borderId="0" xfId="0" applyFont="1"/>
    <xf numFmtId="0" fontId="0" fillId="0" borderId="4" xfId="0" applyBorder="1"/>
    <xf numFmtId="0" fontId="2" fillId="0" borderId="38" xfId="0" applyFont="1" applyFill="1" applyBorder="1"/>
    <xf numFmtId="0" fontId="2" fillId="0" borderId="10" xfId="0" applyFont="1" applyBorder="1" applyAlignment="1">
      <alignment horizontal="right"/>
    </xf>
    <xf numFmtId="0" fontId="2" fillId="0" borderId="4" xfId="0" applyFont="1" applyBorder="1" applyAlignment="1">
      <alignment horizontal="right"/>
    </xf>
    <xf numFmtId="166" fontId="0" fillId="4" borderId="4" xfId="2" applyNumberFormat="1" applyFont="1" applyFill="1" applyBorder="1"/>
    <xf numFmtId="166" fontId="0" fillId="4" borderId="37" xfId="2" applyNumberFormat="1" applyFont="1" applyFill="1" applyBorder="1"/>
    <xf numFmtId="0" fontId="2" fillId="0" borderId="8" xfId="0" applyFont="1" applyBorder="1" applyAlignment="1">
      <alignment horizontal="center"/>
    </xf>
    <xf numFmtId="2" fontId="0" fillId="0" borderId="0" xfId="0" applyNumberFormat="1"/>
    <xf numFmtId="0" fontId="0" fillId="0" borderId="15" xfId="0" applyBorder="1"/>
    <xf numFmtId="0" fontId="0" fillId="0" borderId="42" xfId="0" applyBorder="1"/>
    <xf numFmtId="9" fontId="0" fillId="0" borderId="42" xfId="0" applyNumberFormat="1" applyBorder="1"/>
    <xf numFmtId="9" fontId="0" fillId="0" borderId="40" xfId="0" applyNumberFormat="1" applyBorder="1"/>
    <xf numFmtId="0" fontId="0" fillId="0" borderId="43" xfId="0" applyBorder="1"/>
    <xf numFmtId="0" fontId="0" fillId="0" borderId="17" xfId="0" applyBorder="1"/>
    <xf numFmtId="0" fontId="0" fillId="0" borderId="21" xfId="0" applyBorder="1"/>
    <xf numFmtId="0" fontId="0" fillId="0" borderId="44" xfId="0" applyBorder="1"/>
    <xf numFmtId="0" fontId="0" fillId="0" borderId="9" xfId="0" applyBorder="1"/>
    <xf numFmtId="0" fontId="0" fillId="0" borderId="45" xfId="0" applyBorder="1"/>
    <xf numFmtId="0" fontId="0" fillId="0" borderId="46" xfId="0" applyBorder="1"/>
    <xf numFmtId="44" fontId="0" fillId="0" borderId="47" xfId="0" applyNumberFormat="1" applyBorder="1"/>
    <xf numFmtId="44" fontId="0" fillId="0" borderId="47" xfId="2" applyFont="1" applyBorder="1"/>
    <xf numFmtId="44" fontId="0" fillId="0" borderId="48" xfId="0" applyNumberFormat="1" applyBorder="1"/>
    <xf numFmtId="0" fontId="0" fillId="0" borderId="13" xfId="0" applyBorder="1"/>
    <xf numFmtId="0" fontId="0" fillId="0" borderId="14" xfId="0" applyBorder="1"/>
    <xf numFmtId="0" fontId="2" fillId="0" borderId="6" xfId="0" applyFont="1" applyBorder="1"/>
    <xf numFmtId="166" fontId="0" fillId="0" borderId="47" xfId="2" applyNumberFormat="1" applyFont="1" applyBorder="1"/>
    <xf numFmtId="165" fontId="0" fillId="0" borderId="47" xfId="3" applyNumberFormat="1" applyFont="1" applyBorder="1"/>
    <xf numFmtId="165" fontId="0" fillId="0" borderId="49" xfId="3" applyNumberFormat="1" applyFont="1" applyBorder="1"/>
    <xf numFmtId="166" fontId="2" fillId="0" borderId="41" xfId="2" applyNumberFormat="1" applyFont="1" applyBorder="1"/>
    <xf numFmtId="0" fontId="2" fillId="0" borderId="1" xfId="0" applyFont="1" applyFill="1" applyBorder="1"/>
    <xf numFmtId="165" fontId="2" fillId="0" borderId="40" xfId="3" applyNumberFormat="1" applyFont="1" applyBorder="1"/>
    <xf numFmtId="9" fontId="2" fillId="0" borderId="40" xfId="0" applyNumberFormat="1" applyFont="1" applyBorder="1"/>
    <xf numFmtId="0" fontId="0" fillId="4" borderId="15" xfId="0" applyFill="1" applyBorder="1"/>
    <xf numFmtId="166" fontId="0" fillId="4" borderId="15" xfId="2" applyNumberFormat="1" applyFont="1" applyFill="1" applyBorder="1"/>
    <xf numFmtId="0" fontId="0" fillId="4" borderId="10" xfId="0" applyFill="1" applyBorder="1"/>
    <xf numFmtId="0" fontId="0" fillId="0" borderId="47" xfId="0" applyBorder="1"/>
    <xf numFmtId="0" fontId="0" fillId="4" borderId="47" xfId="0" applyFill="1" applyBorder="1"/>
    <xf numFmtId="0" fontId="0" fillId="0" borderId="47" xfId="0" applyFill="1" applyBorder="1"/>
    <xf numFmtId="166" fontId="0" fillId="4" borderId="47" xfId="2" applyNumberFormat="1" applyFont="1" applyFill="1" applyBorder="1"/>
    <xf numFmtId="166" fontId="0" fillId="0" borderId="48" xfId="0" applyNumberFormat="1" applyBorder="1"/>
    <xf numFmtId="0" fontId="0" fillId="0" borderId="15" xfId="0" applyBorder="1" applyAlignment="1">
      <alignment wrapText="1"/>
    </xf>
    <xf numFmtId="166" fontId="0" fillId="4" borderId="15" xfId="2" applyNumberFormat="1" applyFont="1" applyFill="1" applyBorder="1" applyAlignment="1">
      <alignment wrapText="1"/>
    </xf>
    <xf numFmtId="166" fontId="0" fillId="0" borderId="15" xfId="0" applyNumberFormat="1" applyFill="1" applyBorder="1" applyAlignment="1">
      <alignment wrapText="1"/>
    </xf>
    <xf numFmtId="0" fontId="0" fillId="0" borderId="19" xfId="0" applyBorder="1" applyAlignment="1">
      <alignment wrapText="1"/>
    </xf>
    <xf numFmtId="0" fontId="0" fillId="0" borderId="10" xfId="0" applyBorder="1" applyAlignment="1">
      <alignment wrapText="1"/>
    </xf>
    <xf numFmtId="166" fontId="0" fillId="0" borderId="10" xfId="0" applyNumberFormat="1" applyFill="1" applyBorder="1" applyAlignment="1">
      <alignment wrapText="1"/>
    </xf>
    <xf numFmtId="0" fontId="2" fillId="0" borderId="21" xfId="0" applyFont="1" applyBorder="1"/>
    <xf numFmtId="0" fontId="2" fillId="0" borderId="25" xfId="0" applyFont="1" applyBorder="1"/>
    <xf numFmtId="166" fontId="2" fillId="0" borderId="25" xfId="0" applyNumberFormat="1" applyFont="1" applyBorder="1"/>
    <xf numFmtId="166" fontId="2" fillId="0" borderId="23" xfId="0" applyNumberFormat="1" applyFont="1" applyBorder="1"/>
    <xf numFmtId="0" fontId="0" fillId="4" borderId="15" xfId="0" applyFill="1" applyBorder="1" applyAlignment="1">
      <alignment wrapText="1"/>
    </xf>
    <xf numFmtId="44" fontId="0" fillId="4" borderId="15" xfId="2" applyFont="1" applyFill="1" applyBorder="1" applyAlignment="1">
      <alignment wrapText="1"/>
    </xf>
    <xf numFmtId="44" fontId="0" fillId="0" borderId="15" xfId="0" applyNumberFormat="1" applyBorder="1" applyAlignment="1">
      <alignment wrapText="1"/>
    </xf>
    <xf numFmtId="44" fontId="0" fillId="4" borderId="10" xfId="2" applyFont="1" applyFill="1" applyBorder="1" applyAlignment="1">
      <alignment wrapText="1"/>
    </xf>
    <xf numFmtId="44" fontId="0" fillId="0" borderId="10" xfId="0" applyNumberFormat="1" applyBorder="1" applyAlignment="1">
      <alignment wrapText="1"/>
    </xf>
    <xf numFmtId="0" fontId="0" fillId="0" borderId="21" xfId="0" applyBorder="1" applyAlignment="1">
      <alignment wrapText="1"/>
    </xf>
    <xf numFmtId="44" fontId="0" fillId="0" borderId="25" xfId="0" applyNumberFormat="1" applyBorder="1" applyAlignment="1">
      <alignment wrapText="1"/>
    </xf>
    <xf numFmtId="0" fontId="0" fillId="0" borderId="25" xfId="0" applyBorder="1" applyAlignment="1">
      <alignment wrapText="1"/>
    </xf>
    <xf numFmtId="0" fontId="0" fillId="0" borderId="25" xfId="0" applyBorder="1"/>
    <xf numFmtId="0" fontId="0" fillId="0" borderId="23" xfId="0" applyBorder="1"/>
    <xf numFmtId="44" fontId="0" fillId="0" borderId="8" xfId="2" applyFont="1" applyBorder="1"/>
    <xf numFmtId="1" fontId="0" fillId="0" borderId="23" xfId="0" applyNumberFormat="1" applyBorder="1"/>
    <xf numFmtId="0" fontId="0" fillId="0" borderId="26" xfId="0" applyBorder="1"/>
    <xf numFmtId="44" fontId="0" fillId="0" borderId="28" xfId="2" applyFont="1" applyBorder="1"/>
    <xf numFmtId="0" fontId="0" fillId="0" borderId="39" xfId="0" applyBorder="1"/>
    <xf numFmtId="44" fontId="0" fillId="0" borderId="51" xfId="2" applyFont="1" applyBorder="1"/>
    <xf numFmtId="0" fontId="0" fillId="0" borderId="1" xfId="0" applyBorder="1" applyAlignment="1">
      <alignment wrapText="1"/>
    </xf>
    <xf numFmtId="0" fontId="0" fillId="0" borderId="2" xfId="0" applyBorder="1" applyAlignment="1">
      <alignment wrapText="1"/>
    </xf>
    <xf numFmtId="167" fontId="0" fillId="0" borderId="2" xfId="0" applyNumberFormat="1" applyBorder="1" applyAlignment="1">
      <alignment wrapText="1"/>
    </xf>
    <xf numFmtId="167" fontId="0" fillId="8" borderId="40" xfId="2" applyNumberFormat="1" applyFont="1" applyFill="1" applyBorder="1" applyAlignment="1">
      <alignment wrapText="1"/>
    </xf>
    <xf numFmtId="167" fontId="0" fillId="8" borderId="38" xfId="2" applyNumberFormat="1" applyFont="1" applyFill="1" applyBorder="1" applyAlignment="1">
      <alignment wrapText="1"/>
    </xf>
    <xf numFmtId="167" fontId="0" fillId="0" borderId="40" xfId="2" applyNumberFormat="1" applyFont="1" applyFill="1" applyBorder="1" applyAlignment="1">
      <alignment wrapText="1"/>
    </xf>
    <xf numFmtId="167" fontId="0" fillId="0" borderId="38" xfId="2" applyNumberFormat="1" applyFont="1" applyFill="1" applyBorder="1" applyAlignment="1">
      <alignment wrapText="1"/>
    </xf>
    <xf numFmtId="167" fontId="0" fillId="0" borderId="40" xfId="2" applyNumberFormat="1" applyFont="1" applyBorder="1" applyAlignment="1">
      <alignment wrapText="1"/>
    </xf>
    <xf numFmtId="167" fontId="0" fillId="0" borderId="1" xfId="2" applyNumberFormat="1" applyFont="1" applyBorder="1" applyAlignment="1">
      <alignment wrapText="1"/>
    </xf>
    <xf numFmtId="167" fontId="1" fillId="8" borderId="40" xfId="2" applyNumberFormat="1" applyFont="1" applyFill="1" applyBorder="1" applyAlignment="1">
      <alignment wrapText="1"/>
    </xf>
    <xf numFmtId="0" fontId="0" fillId="0" borderId="1" xfId="0" applyFont="1" applyFill="1" applyBorder="1" applyAlignment="1">
      <alignment wrapText="1"/>
    </xf>
    <xf numFmtId="0" fontId="0" fillId="0" borderId="40" xfId="0" applyBorder="1" applyAlignment="1">
      <alignment wrapText="1"/>
    </xf>
    <xf numFmtId="0" fontId="0" fillId="8" borderId="40" xfId="0" applyFill="1" applyBorder="1" applyAlignment="1">
      <alignment wrapText="1"/>
    </xf>
    <xf numFmtId="0" fontId="0" fillId="8" borderId="38" xfId="0" applyFill="1" applyBorder="1" applyAlignment="1">
      <alignment wrapText="1"/>
    </xf>
    <xf numFmtId="0" fontId="0" fillId="0" borderId="38" xfId="0" applyBorder="1" applyAlignment="1">
      <alignment wrapText="1"/>
    </xf>
    <xf numFmtId="0" fontId="21" fillId="8" borderId="40" xfId="0" applyFont="1" applyFill="1" applyBorder="1" applyAlignment="1">
      <alignment wrapText="1"/>
    </xf>
    <xf numFmtId="0" fontId="21" fillId="8" borderId="2" xfId="0" applyFont="1" applyFill="1" applyBorder="1" applyAlignment="1">
      <alignment wrapText="1"/>
    </xf>
    <xf numFmtId="0" fontId="2" fillId="0" borderId="53" xfId="0" applyFont="1" applyBorder="1"/>
    <xf numFmtId="0" fontId="2" fillId="0" borderId="40" xfId="0" applyFont="1" applyBorder="1"/>
    <xf numFmtId="167" fontId="2" fillId="5" borderId="40" xfId="0" applyNumberFormat="1" applyFont="1" applyFill="1" applyBorder="1"/>
    <xf numFmtId="167" fontId="2" fillId="5" borderId="40" xfId="2" applyNumberFormat="1" applyFont="1" applyFill="1" applyBorder="1"/>
    <xf numFmtId="167" fontId="2" fillId="5" borderId="1" xfId="2" applyNumberFormat="1" applyFont="1" applyFill="1" applyBorder="1"/>
    <xf numFmtId="167" fontId="2" fillId="0" borderId="40" xfId="2" applyNumberFormat="1" applyFont="1" applyFill="1" applyBorder="1"/>
    <xf numFmtId="167" fontId="2" fillId="8" borderId="40" xfId="2" applyNumberFormat="1" applyFont="1" applyFill="1" applyBorder="1"/>
    <xf numFmtId="167" fontId="21" fillId="8" borderId="40" xfId="0" applyNumberFormat="1" applyFont="1" applyFill="1" applyBorder="1"/>
    <xf numFmtId="167" fontId="21" fillId="8" borderId="2" xfId="0" applyNumberFormat="1" applyFont="1" applyFill="1" applyBorder="1"/>
    <xf numFmtId="0" fontId="0" fillId="0" borderId="52" xfId="0" applyBorder="1"/>
    <xf numFmtId="0" fontId="0" fillId="4" borderId="20" xfId="0" applyFill="1" applyBorder="1"/>
    <xf numFmtId="167" fontId="0" fillId="5" borderId="20" xfId="0" applyNumberFormat="1" applyFill="1" applyBorder="1"/>
    <xf numFmtId="167" fontId="0" fillId="4" borderId="42" xfId="2" applyNumberFormat="1" applyFont="1" applyFill="1" applyBorder="1"/>
    <xf numFmtId="167" fontId="0" fillId="7" borderId="42" xfId="2" applyNumberFormat="1" applyFont="1" applyFill="1" applyBorder="1"/>
    <xf numFmtId="167" fontId="21" fillId="8" borderId="42" xfId="0" applyNumberFormat="1" applyFont="1" applyFill="1" applyBorder="1"/>
    <xf numFmtId="167" fontId="21" fillId="8" borderId="20" xfId="0" applyNumberFormat="1" applyFont="1" applyFill="1" applyBorder="1"/>
    <xf numFmtId="0" fontId="2" fillId="0" borderId="1" xfId="0" applyFont="1" applyBorder="1"/>
    <xf numFmtId="167" fontId="2" fillId="8" borderId="1" xfId="2" applyNumberFormat="1" applyFont="1" applyFill="1" applyBorder="1"/>
    <xf numFmtId="167" fontId="2" fillId="8" borderId="38" xfId="2" applyNumberFormat="1" applyFont="1" applyFill="1" applyBorder="1"/>
    <xf numFmtId="167" fontId="2" fillId="0" borderId="1" xfId="2" applyNumberFormat="1" applyFont="1" applyFill="1" applyBorder="1"/>
    <xf numFmtId="167" fontId="2" fillId="0" borderId="40" xfId="2" applyNumberFormat="1" applyFont="1" applyBorder="1"/>
    <xf numFmtId="167" fontId="21" fillId="8" borderId="1" xfId="2" applyNumberFormat="1" applyFont="1" applyFill="1" applyBorder="1"/>
    <xf numFmtId="167" fontId="21" fillId="8" borderId="40" xfId="2" applyNumberFormat="1" applyFont="1" applyFill="1" applyBorder="1"/>
    <xf numFmtId="0" fontId="0" fillId="0" borderId="20" xfId="0" applyBorder="1"/>
    <xf numFmtId="167" fontId="0" fillId="0" borderId="20" xfId="0" applyNumberFormat="1" applyBorder="1"/>
    <xf numFmtId="167" fontId="0" fillId="8" borderId="42" xfId="2" applyNumberFormat="1" applyFont="1" applyFill="1" applyBorder="1"/>
    <xf numFmtId="167" fontId="0" fillId="8" borderId="0" xfId="2" applyNumberFormat="1" applyFont="1" applyFill="1" applyBorder="1"/>
    <xf numFmtId="167" fontId="0" fillId="0" borderId="42" xfId="2" applyNumberFormat="1" applyFont="1" applyFill="1" applyBorder="1"/>
    <xf numFmtId="167" fontId="0" fillId="0" borderId="0" xfId="2" applyNumberFormat="1" applyFont="1" applyFill="1" applyBorder="1"/>
    <xf numFmtId="167" fontId="0" fillId="0" borderId="42" xfId="2" applyNumberFormat="1" applyFont="1" applyBorder="1"/>
    <xf numFmtId="167" fontId="0" fillId="0" borderId="52" xfId="2" applyNumberFormat="1" applyFont="1" applyFill="1" applyBorder="1"/>
    <xf numFmtId="167" fontId="1" fillId="8" borderId="42" xfId="2" applyNumberFormat="1" applyFont="1" applyFill="1" applyBorder="1"/>
    <xf numFmtId="0" fontId="0" fillId="0" borderId="52" xfId="0" applyFont="1" applyFill="1" applyBorder="1"/>
    <xf numFmtId="0" fontId="0" fillId="8" borderId="42" xfId="0" applyFill="1" applyBorder="1"/>
    <xf numFmtId="0" fontId="0" fillId="8" borderId="0" xfId="0" applyFill="1" applyBorder="1"/>
    <xf numFmtId="0" fontId="21" fillId="8" borderId="42" xfId="0" applyFont="1" applyFill="1" applyBorder="1"/>
    <xf numFmtId="0" fontId="21" fillId="8" borderId="20" xfId="0" applyFont="1" applyFill="1" applyBorder="1"/>
    <xf numFmtId="0" fontId="2" fillId="0" borderId="2" xfId="0" applyFont="1" applyBorder="1"/>
    <xf numFmtId="0" fontId="0" fillId="0" borderId="20" xfId="0" applyBorder="1" applyAlignment="1">
      <alignment horizontal="right"/>
    </xf>
    <xf numFmtId="167" fontId="0" fillId="0" borderId="20" xfId="0" applyNumberFormat="1" applyBorder="1" applyAlignment="1">
      <alignment horizontal="right"/>
    </xf>
    <xf numFmtId="167" fontId="0" fillId="0" borderId="0" xfId="0" applyNumberFormat="1"/>
    <xf numFmtId="167" fontId="0" fillId="0" borderId="0" xfId="2" applyNumberFormat="1" applyFont="1"/>
    <xf numFmtId="167" fontId="1" fillId="0" borderId="0" xfId="2" applyNumberFormat="1" applyFont="1"/>
    <xf numFmtId="0" fontId="0" fillId="0" borderId="52" xfId="0" applyFill="1" applyBorder="1"/>
    <xf numFmtId="0" fontId="0" fillId="0" borderId="20" xfId="0" applyFill="1" applyBorder="1"/>
    <xf numFmtId="167" fontId="0" fillId="0" borderId="20" xfId="0" applyNumberFormat="1" applyFill="1" applyBorder="1"/>
    <xf numFmtId="167" fontId="21" fillId="0" borderId="42" xfId="0" applyNumberFormat="1" applyFont="1" applyFill="1" applyBorder="1"/>
    <xf numFmtId="167" fontId="21" fillId="0" borderId="20" xfId="0" applyNumberFormat="1" applyFont="1" applyFill="1" applyBorder="1"/>
    <xf numFmtId="0" fontId="0" fillId="0" borderId="0" xfId="0" applyFill="1"/>
    <xf numFmtId="0" fontId="2" fillId="0" borderId="17" xfId="0" applyFont="1" applyBorder="1" applyAlignment="1">
      <alignment horizontal="center"/>
    </xf>
    <xf numFmtId="0" fontId="2" fillId="0" borderId="24" xfId="0" applyFont="1" applyBorder="1" applyAlignment="1">
      <alignment horizontal="center"/>
    </xf>
    <xf numFmtId="0" fontId="2" fillId="0" borderId="44" xfId="0" applyFont="1" applyBorder="1" applyAlignment="1">
      <alignment horizontal="center"/>
    </xf>
    <xf numFmtId="0" fontId="2" fillId="0" borderId="7" xfId="0" applyFont="1" applyBorder="1" applyAlignment="1">
      <alignment horizontal="center"/>
    </xf>
    <xf numFmtId="0" fontId="2" fillId="0" borderId="50" xfId="0" applyFont="1" applyBorder="1" applyAlignment="1">
      <alignment horizontal="center"/>
    </xf>
    <xf numFmtId="0" fontId="5" fillId="2" borderId="1" xfId="0" applyFont="1" applyFill="1" applyBorder="1" applyAlignment="1">
      <alignment horizontal="left"/>
    </xf>
    <xf numFmtId="0" fontId="5" fillId="2" borderId="2" xfId="0" applyFont="1" applyFill="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12" fillId="2" borderId="1" xfId="0" applyFont="1" applyFill="1" applyBorder="1" applyAlignment="1">
      <alignment horizontal="left"/>
    </xf>
    <xf numFmtId="0" fontId="12" fillId="2" borderId="2" xfId="0" applyFont="1" applyFill="1" applyBorder="1" applyAlignment="1">
      <alignment horizontal="left"/>
    </xf>
    <xf numFmtId="0" fontId="13" fillId="0" borderId="3"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6" fillId="5" borderId="15" xfId="0" applyFont="1" applyFill="1" applyBorder="1" applyAlignment="1">
      <alignment horizontal="center"/>
    </xf>
    <xf numFmtId="0" fontId="20" fillId="0" borderId="0" xfId="4" applyFont="1" applyBorder="1" applyAlignment="1" applyProtection="1">
      <alignment horizontal="left"/>
      <protection locked="0"/>
    </xf>
    <xf numFmtId="0" fontId="15" fillId="0" borderId="0" xfId="4" applyFont="1" applyBorder="1" applyAlignment="1" applyProtection="1">
      <alignment horizontal="left"/>
      <protection locked="0"/>
    </xf>
    <xf numFmtId="2" fontId="4" fillId="4" borderId="29" xfId="1" applyNumberFormat="1" applyFont="1" applyFill="1" applyBorder="1" applyAlignment="1" applyProtection="1">
      <protection locked="0"/>
    </xf>
    <xf numFmtId="2" fontId="4" fillId="7" borderId="34" xfId="1" applyNumberFormat="1" applyFont="1" applyFill="1" applyBorder="1" applyAlignment="1">
      <alignment horizontal="right"/>
    </xf>
    <xf numFmtId="2" fontId="4" fillId="7" borderId="35" xfId="1" applyNumberFormat="1" applyFont="1" applyFill="1" applyBorder="1" applyAlignment="1">
      <alignment horizontal="right"/>
    </xf>
    <xf numFmtId="3" fontId="6" fillId="0" borderId="34" xfId="0" applyNumberFormat="1" applyFont="1" applyBorder="1" applyAlignment="1">
      <alignment horizontal="center" wrapText="1"/>
    </xf>
    <xf numFmtId="3" fontId="6" fillId="0" borderId="35" xfId="0" applyNumberFormat="1" applyFont="1" applyBorder="1" applyAlignment="1">
      <alignment horizontal="center" wrapText="1"/>
    </xf>
    <xf numFmtId="2" fontId="4" fillId="4" borderId="3" xfId="1" applyNumberFormat="1" applyFont="1" applyFill="1" applyBorder="1" applyAlignment="1" applyProtection="1">
      <protection locked="0"/>
    </xf>
    <xf numFmtId="2" fontId="4" fillId="4" borderId="5" xfId="1" applyNumberFormat="1" applyFont="1" applyFill="1" applyBorder="1" applyAlignment="1" applyProtection="1">
      <protection locked="0"/>
    </xf>
    <xf numFmtId="2" fontId="4" fillId="4" borderId="29" xfId="1" applyNumberFormat="1" applyFont="1" applyFill="1" applyBorder="1" applyAlignment="1" applyProtection="1">
      <alignment horizontal="right"/>
      <protection locked="0"/>
    </xf>
    <xf numFmtId="2" fontId="19" fillId="6" borderId="34" xfId="1" applyNumberFormat="1" applyFont="1" applyFill="1" applyBorder="1" applyAlignment="1">
      <alignment horizontal="right"/>
    </xf>
    <xf numFmtId="2" fontId="19" fillId="6" borderId="35" xfId="1" applyNumberFormat="1" applyFont="1" applyFill="1" applyBorder="1" applyAlignment="1">
      <alignment horizontal="right"/>
    </xf>
    <xf numFmtId="2" fontId="4" fillId="7" borderId="27" xfId="1" applyNumberFormat="1" applyFont="1" applyFill="1" applyBorder="1" applyAlignment="1">
      <alignment horizontal="right"/>
    </xf>
    <xf numFmtId="0" fontId="0" fillId="7" borderId="27" xfId="0" applyFont="1" applyFill="1" applyBorder="1"/>
    <xf numFmtId="43" fontId="4" fillId="5" borderId="27" xfId="1" applyFont="1" applyFill="1" applyBorder="1" applyAlignment="1">
      <alignment horizontal="center" wrapText="1"/>
    </xf>
    <xf numFmtId="43" fontId="4" fillId="7" borderId="27" xfId="1" applyFont="1" applyFill="1" applyBorder="1" applyAlignment="1">
      <alignment horizontal="right"/>
    </xf>
    <xf numFmtId="0" fontId="0" fillId="0" borderId="19"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2" fillId="0" borderId="8" xfId="0" applyFont="1" applyBorder="1" applyAlignment="1">
      <alignment horizontal="center"/>
    </xf>
    <xf numFmtId="0" fontId="2" fillId="0" borderId="1" xfId="0" applyFont="1" applyBorder="1" applyAlignment="1">
      <alignment horizontal="center"/>
    </xf>
    <xf numFmtId="0" fontId="2" fillId="0" borderId="38" xfId="0" applyFont="1" applyBorder="1" applyAlignment="1">
      <alignment horizontal="center"/>
    </xf>
    <xf numFmtId="0" fontId="2" fillId="0" borderId="2" xfId="0" applyFont="1" applyBorder="1" applyAlignment="1">
      <alignment horizontal="center"/>
    </xf>
    <xf numFmtId="0" fontId="2" fillId="4" borderId="52" xfId="0" applyFont="1" applyFill="1" applyBorder="1" applyAlignment="1">
      <alignment horizontal="center"/>
    </xf>
    <xf numFmtId="0" fontId="2" fillId="4" borderId="0" xfId="0" applyFont="1" applyFill="1" applyBorder="1" applyAlignment="1">
      <alignment horizontal="center"/>
    </xf>
    <xf numFmtId="0" fontId="0" fillId="0" borderId="52" xfId="0" applyBorder="1" applyAlignment="1">
      <alignment horizontal="center"/>
    </xf>
    <xf numFmtId="0" fontId="0" fillId="0" borderId="0" xfId="0" applyBorder="1" applyAlignment="1">
      <alignment horizontal="center"/>
    </xf>
    <xf numFmtId="0" fontId="10" fillId="0" borderId="0" xfId="4" applyAlignment="1" applyProtection="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104775</xdr:rowOff>
    </xdr:from>
    <xdr:to>
      <xdr:col>8</xdr:col>
      <xdr:colOff>666750</xdr:colOff>
      <xdr:row>5</xdr:row>
      <xdr:rowOff>19050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71450" y="476250"/>
          <a:ext cx="721995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specifics of labor will help us to determine the costs of operating your targeted grazing business.  Lbor is included as overhead.</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82702</xdr:colOff>
      <xdr:row>2</xdr:row>
      <xdr:rowOff>58206</xdr:rowOff>
    </xdr:from>
    <xdr:to>
      <xdr:col>6</xdr:col>
      <xdr:colOff>173182</xdr:colOff>
      <xdr:row>9</xdr:row>
      <xdr:rowOff>190499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2702" y="515406"/>
          <a:ext cx="8520105" cy="1465793"/>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Cash overheads are those that you have to pay for on a yearly basis. </a:t>
          </a:r>
          <a:r>
            <a:rPr lang="en-US" sz="1200"/>
            <a:t>Every operation</a:t>
          </a:r>
          <a:r>
            <a:rPr lang="en-US" sz="1200" baseline="0"/>
            <a:t> has cash overhead costs, ranging from advertising to equipment repairs.  Below, you will find a comprehensive list of cash overhead costs for a typical targeted operation.  Enter how much they cost for your operation - a printed profit/loss sheet is great starting place.  If you don't spend money on a particular overhead, then simply enter "0".  If you have items that are not listed, enter those amounts in the last row - "Other Cash Overhead Expenses".  </a:t>
          </a:r>
        </a:p>
        <a:p>
          <a:r>
            <a:rPr lang="en-US" sz="1200" b="1" u="sng" baseline="0">
              <a:solidFill>
                <a:schemeClr val="dk1"/>
              </a:solidFill>
              <a:latin typeface="+mn-lt"/>
              <a:ea typeface="+mn-ea"/>
              <a:cs typeface="+mn-cs"/>
            </a:rPr>
            <a:t>In the worksheet below, you will enter information into the yellow cells, and only the yellow cells</a:t>
          </a:r>
          <a:r>
            <a:rPr lang="en-US" sz="1200" baseline="0">
              <a:solidFill>
                <a:schemeClr val="dk1"/>
              </a:solidFill>
              <a:latin typeface="+mn-lt"/>
              <a:ea typeface="+mn-ea"/>
              <a:cs typeface="+mn-cs"/>
            </a:rPr>
            <a:t>.  </a:t>
          </a:r>
        </a:p>
        <a:p>
          <a:r>
            <a:rPr lang="en-US" sz="1200" baseline="0">
              <a:solidFill>
                <a:schemeClr val="dk1"/>
              </a:solidFill>
              <a:latin typeface="+mn-lt"/>
              <a:ea typeface="+mn-ea"/>
              <a:cs typeface="+mn-cs"/>
            </a:rPr>
            <a:t>If you aren't going to use some of the yellow cells, simply enter "0".  </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xdr:colOff>
      <xdr:row>2</xdr:row>
      <xdr:rowOff>73269</xdr:rowOff>
    </xdr:from>
    <xdr:to>
      <xdr:col>6</xdr:col>
      <xdr:colOff>1439334</xdr:colOff>
      <xdr:row>10</xdr:row>
      <xdr:rowOff>201082</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61927" y="578094"/>
          <a:ext cx="7144807" cy="1651813"/>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Non-cash overheads are those that you don't have to pay for on a yearly basis - these are typically depreciation on capital expenses, or otherwise one-time purchases. </a:t>
          </a:r>
          <a:r>
            <a:rPr lang="en-US" sz="1200">
              <a:solidFill>
                <a:schemeClr val="dk1"/>
              </a:solidFill>
              <a:latin typeface="+mn-lt"/>
              <a:ea typeface="+mn-ea"/>
              <a:cs typeface="+mn-cs"/>
            </a:rPr>
            <a:t>Every operation</a:t>
          </a:r>
          <a:r>
            <a:rPr lang="en-US" sz="1200" baseline="0">
              <a:solidFill>
                <a:schemeClr val="dk1"/>
              </a:solidFill>
              <a:latin typeface="+mn-lt"/>
              <a:ea typeface="+mn-ea"/>
              <a:cs typeface="+mn-cs"/>
            </a:rPr>
            <a:t> has capital costs, ranging from land to working dogs, many of which depreciate over time.  They are generally items that cost more that $250 and last longer than 2 years.  Below, you will find a comprehensive list of non-cash overhead costs for a typical targeted grazing operation.  Enter how much they cost for your operation.  You will also have to estimate the "useful life span" at the time of purchase for each item.  For instance, you may estimate that one of your trailers will last for 10 years.  If so, then enter "10" in the "Useful Life Span" column. </a:t>
          </a:r>
        </a:p>
        <a:p>
          <a:r>
            <a:rPr lang="en-US" sz="1200" baseline="0">
              <a:solidFill>
                <a:schemeClr val="dk1"/>
              </a:solidFill>
              <a:latin typeface="+mn-lt"/>
              <a:ea typeface="+mn-ea"/>
              <a:cs typeface="+mn-cs"/>
            </a:rPr>
            <a:t>If you have non-cash overheads that aren't listed, enter those amounts in the last row - "Other Non-Cash Overhead Expenses".  </a:t>
          </a:r>
          <a:endParaRPr lang="en-US" sz="12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macon@ucanr.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92F72-B5DB-45C0-A685-4645DB3A9793}">
  <dimension ref="A1:C11"/>
  <sheetViews>
    <sheetView tabSelected="1" workbookViewId="0">
      <selection activeCell="A6" sqref="A6"/>
    </sheetView>
  </sheetViews>
  <sheetFormatPr defaultRowHeight="14.5" x14ac:dyDescent="0.35"/>
  <sheetData>
    <row r="1" spans="1:3" s="6" customFormat="1" ht="18.5" x14ac:dyDescent="0.45">
      <c r="A1" s="6" t="s">
        <v>243</v>
      </c>
    </row>
    <row r="2" spans="1:3" x14ac:dyDescent="0.35">
      <c r="A2" t="s">
        <v>244</v>
      </c>
      <c r="C2" t="s">
        <v>245</v>
      </c>
    </row>
    <row r="3" spans="1:3" x14ac:dyDescent="0.35">
      <c r="C3" t="s">
        <v>246</v>
      </c>
    </row>
    <row r="4" spans="1:3" x14ac:dyDescent="0.35">
      <c r="C4" t="s">
        <v>247</v>
      </c>
    </row>
    <row r="5" spans="1:3" x14ac:dyDescent="0.35">
      <c r="C5" s="311" t="s">
        <v>248</v>
      </c>
    </row>
    <row r="7" spans="1:3" x14ac:dyDescent="0.35">
      <c r="A7" t="s">
        <v>240</v>
      </c>
    </row>
    <row r="9" spans="1:3" x14ac:dyDescent="0.35">
      <c r="A9" t="s">
        <v>241</v>
      </c>
    </row>
    <row r="11" spans="1:3" x14ac:dyDescent="0.35">
      <c r="A11" t="s">
        <v>242</v>
      </c>
    </row>
  </sheetData>
  <hyperlinks>
    <hyperlink ref="C5" r:id="rId1" xr:uid="{1E6F1B31-91DA-4875-85B6-CA30F7DCB1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
  <sheetViews>
    <sheetView zoomScale="130" zoomScaleNormal="130" workbookViewId="0">
      <selection sqref="A1:C1"/>
    </sheetView>
  </sheetViews>
  <sheetFormatPr defaultRowHeight="14.5" x14ac:dyDescent="0.35"/>
  <cols>
    <col min="1" max="1" width="35.81640625" customWidth="1"/>
    <col min="2" max="2" width="13.453125" bestFit="1" customWidth="1"/>
    <col min="3" max="3" width="11.7265625" bestFit="1" customWidth="1"/>
  </cols>
  <sheetData>
    <row r="1" spans="1:3" ht="15" thickBot="1" x14ac:dyDescent="0.4">
      <c r="A1" s="304" t="s">
        <v>121</v>
      </c>
      <c r="B1" s="305"/>
      <c r="C1" s="306"/>
    </row>
    <row r="2" spans="1:3" ht="15" thickBot="1" x14ac:dyDescent="0.4">
      <c r="A2" s="158"/>
      <c r="B2" s="154"/>
      <c r="C2" s="148" t="s">
        <v>184</v>
      </c>
    </row>
    <row r="3" spans="1:3" x14ac:dyDescent="0.35">
      <c r="A3" s="152" t="s">
        <v>181</v>
      </c>
      <c r="B3" s="161">
        <f>'Gross Revenue'!B11</f>
        <v>65725</v>
      </c>
      <c r="C3" s="145"/>
    </row>
    <row r="4" spans="1:3" x14ac:dyDescent="0.35">
      <c r="A4" s="152" t="s">
        <v>122</v>
      </c>
      <c r="B4" s="161">
        <f>'Direct Costs'!C16</f>
        <v>8288.5</v>
      </c>
      <c r="C4" s="145"/>
    </row>
    <row r="5" spans="1:3" x14ac:dyDescent="0.35">
      <c r="A5" s="152" t="s">
        <v>123</v>
      </c>
      <c r="B5" s="161">
        <f>0.1*B4</f>
        <v>828.85</v>
      </c>
      <c r="C5" s="145"/>
    </row>
    <row r="6" spans="1:3" ht="15" thickBot="1" x14ac:dyDescent="0.4">
      <c r="A6" s="152" t="s">
        <v>124</v>
      </c>
      <c r="B6" s="161">
        <f>B3-B4-B5</f>
        <v>56607.65</v>
      </c>
      <c r="C6" s="145"/>
    </row>
    <row r="7" spans="1:3" ht="15" thickBot="1" x14ac:dyDescent="0.4">
      <c r="A7" s="152" t="s">
        <v>125</v>
      </c>
      <c r="B7" s="162">
        <f>B6/B3</f>
        <v>0.86128033472803345</v>
      </c>
      <c r="C7" s="147">
        <v>0.7</v>
      </c>
    </row>
    <row r="8" spans="1:3" ht="15" thickBot="1" x14ac:dyDescent="0.4">
      <c r="A8" s="152" t="s">
        <v>26</v>
      </c>
      <c r="B8" s="161">
        <f>'Cash Overhead'!C62+'Non-Cash Overhead'!H41+Labor!D37</f>
        <v>54014.5</v>
      </c>
      <c r="C8" s="145"/>
    </row>
    <row r="9" spans="1:3" ht="15" thickBot="1" x14ac:dyDescent="0.4">
      <c r="A9" s="159" t="s">
        <v>126</v>
      </c>
      <c r="B9" s="163">
        <f>B8/B3</f>
        <v>0.82182578927348804</v>
      </c>
      <c r="C9" s="147">
        <v>0.5</v>
      </c>
    </row>
    <row r="10" spans="1:3" ht="15" thickBot="1" x14ac:dyDescent="0.4">
      <c r="A10" s="160" t="s">
        <v>127</v>
      </c>
      <c r="B10" s="164">
        <f>B6-B8</f>
        <v>2593.1500000000015</v>
      </c>
      <c r="C10" s="146"/>
    </row>
    <row r="11" spans="1:3" ht="15" thickBot="1" x14ac:dyDescent="0.4">
      <c r="A11" s="165" t="s">
        <v>183</v>
      </c>
      <c r="B11" s="166">
        <f>B10/B3</f>
        <v>3.9454545454545478E-2</v>
      </c>
      <c r="C11" s="167">
        <v>0.2</v>
      </c>
    </row>
    <row r="12" spans="1:3" ht="15" thickBot="1" x14ac:dyDescent="0.4"/>
    <row r="13" spans="1:3" x14ac:dyDescent="0.35">
      <c r="A13" s="151" t="s">
        <v>128</v>
      </c>
      <c r="B13" s="154">
        <f>'Grazing Estimate'!B5</f>
        <v>90</v>
      </c>
    </row>
    <row r="14" spans="1:3" x14ac:dyDescent="0.35">
      <c r="A14" s="152" t="s">
        <v>134</v>
      </c>
      <c r="B14" s="155">
        <f>B3/B13</f>
        <v>730.27777777777783</v>
      </c>
    </row>
    <row r="15" spans="1:3" x14ac:dyDescent="0.35">
      <c r="A15" s="152" t="s">
        <v>135</v>
      </c>
      <c r="B15" s="156">
        <f>(B4+B8)/B13</f>
        <v>692.25555555555559</v>
      </c>
    </row>
    <row r="16" spans="1:3" x14ac:dyDescent="0.35">
      <c r="A16" s="152" t="s">
        <v>185</v>
      </c>
      <c r="B16" s="156">
        <f>B14-B15</f>
        <v>38.02222222222224</v>
      </c>
    </row>
    <row r="17" spans="1:2" x14ac:dyDescent="0.35">
      <c r="A17" s="152" t="s">
        <v>179</v>
      </c>
      <c r="B17" s="156">
        <f>(B4+B5+B8)/'Grazing Estimate'!B6</f>
        <v>701.46500000000003</v>
      </c>
    </row>
    <row r="18" spans="1:2" x14ac:dyDescent="0.35">
      <c r="A18" s="152" t="s">
        <v>180</v>
      </c>
      <c r="B18" s="156">
        <f>B3/'Grazing Estimate'!B6</f>
        <v>730.27777777777783</v>
      </c>
    </row>
    <row r="19" spans="1:2" ht="15" thickBot="1" x14ac:dyDescent="0.4">
      <c r="A19" s="153" t="s">
        <v>182</v>
      </c>
      <c r="B19" s="157">
        <f>B10/'Grazing Estimate'!B6</f>
        <v>28.812777777777793</v>
      </c>
    </row>
    <row r="20" spans="1:2" ht="15" thickBot="1" x14ac:dyDescent="0.4">
      <c r="B20" s="143"/>
    </row>
    <row r="21" spans="1:2" x14ac:dyDescent="0.35">
      <c r="A21" s="149" t="s">
        <v>189</v>
      </c>
      <c r="B21" s="196">
        <f>'Grazing Estimate'!B7*'Grazing Estimate'!B4</f>
        <v>500</v>
      </c>
    </row>
    <row r="22" spans="1:2" x14ac:dyDescent="0.35">
      <c r="A22" s="200" t="s">
        <v>190</v>
      </c>
      <c r="B22" s="201">
        <f>(B4+B5+B8)-'Gross Revenue'!B7</f>
        <v>42406.85</v>
      </c>
    </row>
    <row r="23" spans="1:2" ht="15" thickBot="1" x14ac:dyDescent="0.4">
      <c r="A23" s="150" t="s">
        <v>186</v>
      </c>
      <c r="B23" s="197">
        <f>B22/B21</f>
        <v>84.813699999999997</v>
      </c>
    </row>
    <row r="24" spans="1:2" ht="15" thickBot="1" x14ac:dyDescent="0.4"/>
    <row r="25" spans="1:2" ht="15" thickBot="1" x14ac:dyDescent="0.4">
      <c r="A25" s="198" t="s">
        <v>188</v>
      </c>
      <c r="B25" s="199">
        <f>'Livestock Value'!G15-'Livestock Value'!D15</f>
        <v>0</v>
      </c>
    </row>
  </sheetData>
  <mergeCells count="1">
    <mergeCell ref="A1:C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58"/>
  <sheetViews>
    <sheetView zoomScale="110" zoomScaleNormal="110" workbookViewId="0">
      <pane xSplit="2" ySplit="5" topLeftCell="C46" activePane="bottomRight" state="frozen"/>
      <selection pane="topRight" activeCell="C1" sqref="C1"/>
      <selection pane="bottomLeft" activeCell="A6" sqref="A6"/>
      <selection pane="bottomRight" activeCell="A58" sqref="A58"/>
    </sheetView>
  </sheetViews>
  <sheetFormatPr defaultRowHeight="14.5" x14ac:dyDescent="0.35"/>
  <cols>
    <col min="1" max="1" width="3.1796875" customWidth="1"/>
    <col min="2" max="2" width="31.1796875" bestFit="1" customWidth="1"/>
    <col min="3" max="3" width="10.54296875" style="259" customWidth="1"/>
    <col min="4" max="15" width="10.54296875" style="260" customWidth="1"/>
    <col min="16" max="17" width="10.54296875" style="261" customWidth="1"/>
    <col min="18" max="18" width="10.54296875" style="19" customWidth="1"/>
    <col min="19" max="27" width="10.54296875" customWidth="1"/>
    <col min="28" max="30" width="10.54296875" style="135" customWidth="1"/>
  </cols>
  <sheetData>
    <row r="1" spans="1:30" x14ac:dyDescent="0.35">
      <c r="A1" s="307" t="s">
        <v>236</v>
      </c>
      <c r="B1" s="308"/>
      <c r="C1" s="308"/>
      <c r="D1" s="308"/>
      <c r="E1" s="308"/>
      <c r="F1" s="308"/>
      <c r="G1" s="308"/>
      <c r="H1" s="308"/>
      <c r="I1" s="308"/>
      <c r="J1" s="308"/>
      <c r="K1" s="308"/>
      <c r="L1" s="308"/>
      <c r="M1" s="308"/>
      <c r="N1" s="308"/>
      <c r="O1" s="308"/>
      <c r="P1" s="308"/>
      <c r="Q1" s="308"/>
      <c r="R1" s="308"/>
    </row>
    <row r="2" spans="1:30" x14ac:dyDescent="0.35">
      <c r="A2" s="309" t="s">
        <v>191</v>
      </c>
      <c r="B2" s="310"/>
      <c r="C2" s="310"/>
      <c r="D2" s="310"/>
      <c r="E2" s="310"/>
      <c r="F2" s="310"/>
      <c r="G2" s="310"/>
      <c r="H2" s="310"/>
      <c r="I2" s="310"/>
      <c r="J2" s="310"/>
      <c r="K2" s="310"/>
      <c r="L2" s="310"/>
      <c r="M2" s="310"/>
      <c r="N2" s="310"/>
      <c r="O2" s="310"/>
      <c r="P2" s="310"/>
      <c r="Q2" s="310"/>
      <c r="R2" s="310"/>
    </row>
    <row r="3" spans="1:30" ht="15" thickBot="1" x14ac:dyDescent="0.4">
      <c r="A3" s="309" t="s">
        <v>192</v>
      </c>
      <c r="B3" s="310"/>
      <c r="C3" s="310"/>
      <c r="D3" s="310"/>
      <c r="E3" s="310"/>
      <c r="F3" s="310"/>
      <c r="G3" s="310"/>
      <c r="H3" s="310"/>
      <c r="I3" s="310"/>
      <c r="J3" s="310"/>
      <c r="K3" s="310"/>
      <c r="L3" s="310"/>
      <c r="M3" s="310"/>
      <c r="N3" s="310"/>
      <c r="O3" s="310"/>
      <c r="P3" s="310"/>
      <c r="Q3" s="310"/>
      <c r="R3" s="310"/>
    </row>
    <row r="4" spans="1:30" s="130" customFormat="1" ht="29.5" thickBot="1" x14ac:dyDescent="0.4">
      <c r="A4" s="202"/>
      <c r="B4" s="203"/>
      <c r="C4" s="204" t="s">
        <v>193</v>
      </c>
      <c r="D4" s="205" t="s">
        <v>194</v>
      </c>
      <c r="E4" s="206" t="s">
        <v>195</v>
      </c>
      <c r="F4" s="207" t="s">
        <v>196</v>
      </c>
      <c r="G4" s="207" t="s">
        <v>197</v>
      </c>
      <c r="H4" s="206" t="s">
        <v>198</v>
      </c>
      <c r="I4" s="205" t="s">
        <v>199</v>
      </c>
      <c r="J4" s="207" t="s">
        <v>200</v>
      </c>
      <c r="K4" s="208" t="s">
        <v>201</v>
      </c>
      <c r="L4" s="205" t="s">
        <v>202</v>
      </c>
      <c r="M4" s="205" t="s">
        <v>203</v>
      </c>
      <c r="N4" s="209" t="s">
        <v>204</v>
      </c>
      <c r="O4" s="210" t="s">
        <v>205</v>
      </c>
      <c r="P4" s="211" t="s">
        <v>206</v>
      </c>
      <c r="Q4" s="211" t="s">
        <v>207</v>
      </c>
      <c r="R4" s="212" t="s">
        <v>208</v>
      </c>
      <c r="S4" s="213" t="s">
        <v>209</v>
      </c>
      <c r="T4" s="214" t="s">
        <v>210</v>
      </c>
      <c r="U4" s="215" t="s">
        <v>211</v>
      </c>
      <c r="V4" s="213" t="s">
        <v>212</v>
      </c>
      <c r="W4" s="216" t="s">
        <v>213</v>
      </c>
      <c r="X4" s="214" t="s">
        <v>214</v>
      </c>
      <c r="Y4" s="215" t="s">
        <v>215</v>
      </c>
      <c r="Z4" s="213" t="s">
        <v>216</v>
      </c>
      <c r="AA4" s="213" t="s">
        <v>217</v>
      </c>
      <c r="AB4" s="217" t="s">
        <v>218</v>
      </c>
      <c r="AC4" s="217" t="s">
        <v>219</v>
      </c>
      <c r="AD4" s="218" t="s">
        <v>220</v>
      </c>
    </row>
    <row r="5" spans="1:30" s="133" customFormat="1" ht="15" thickBot="1" x14ac:dyDescent="0.4">
      <c r="A5" s="219" t="s">
        <v>221</v>
      </c>
      <c r="B5" s="220"/>
      <c r="C5" s="221">
        <v>1500</v>
      </c>
      <c r="D5" s="222">
        <v>1500</v>
      </c>
      <c r="E5" s="223">
        <v>1500</v>
      </c>
      <c r="F5" s="224">
        <f>D58</f>
        <v>284</v>
      </c>
      <c r="G5" s="224">
        <f>E58</f>
        <v>875</v>
      </c>
      <c r="H5" s="225">
        <f t="shared" ref="H5:AA5" si="0">F58</f>
        <v>5068</v>
      </c>
      <c r="I5" s="225">
        <f t="shared" si="0"/>
        <v>5850</v>
      </c>
      <c r="J5" s="224">
        <f t="shared" si="0"/>
        <v>3352</v>
      </c>
      <c r="K5" s="224">
        <f t="shared" si="0"/>
        <v>4255</v>
      </c>
      <c r="L5" s="225">
        <f t="shared" si="0"/>
        <v>1936</v>
      </c>
      <c r="M5" s="225">
        <f t="shared" si="0"/>
        <v>2605</v>
      </c>
      <c r="N5" s="224">
        <f t="shared" si="0"/>
        <v>-148</v>
      </c>
      <c r="O5" s="224">
        <f t="shared" si="0"/>
        <v>-20</v>
      </c>
      <c r="P5" s="225">
        <f t="shared" si="0"/>
        <v>7151</v>
      </c>
      <c r="Q5" s="225">
        <f t="shared" si="0"/>
        <v>7275</v>
      </c>
      <c r="R5" s="224">
        <f t="shared" si="0"/>
        <v>13171</v>
      </c>
      <c r="S5" s="224">
        <f t="shared" si="0"/>
        <v>13065</v>
      </c>
      <c r="T5" s="225">
        <f t="shared" si="0"/>
        <v>12959</v>
      </c>
      <c r="U5" s="225">
        <f t="shared" si="0"/>
        <v>14390</v>
      </c>
      <c r="V5" s="224">
        <f t="shared" si="0"/>
        <v>11543</v>
      </c>
      <c r="W5" s="224">
        <f t="shared" si="0"/>
        <v>14140</v>
      </c>
      <c r="X5" s="225">
        <f t="shared" si="0"/>
        <v>3027</v>
      </c>
      <c r="Y5" s="225">
        <f t="shared" si="0"/>
        <v>5335</v>
      </c>
      <c r="Z5" s="224">
        <f t="shared" si="0"/>
        <v>1811</v>
      </c>
      <c r="AA5" s="224">
        <f t="shared" si="0"/>
        <v>5160</v>
      </c>
      <c r="AB5" s="226">
        <f>D5</f>
        <v>1500</v>
      </c>
      <c r="AC5" s="226">
        <f>E5</f>
        <v>1500</v>
      </c>
      <c r="AD5" s="227">
        <f>AC5-AB5</f>
        <v>0</v>
      </c>
    </row>
    <row r="6" spans="1:30" x14ac:dyDescent="0.35">
      <c r="A6" s="228"/>
      <c r="B6" s="229" t="s">
        <v>116</v>
      </c>
      <c r="C6" s="230">
        <v>11496</v>
      </c>
      <c r="D6" s="231">
        <v>0</v>
      </c>
      <c r="E6" s="232">
        <v>0</v>
      </c>
      <c r="F6" s="231">
        <v>0</v>
      </c>
      <c r="G6" s="232">
        <v>0</v>
      </c>
      <c r="H6" s="231">
        <v>0</v>
      </c>
      <c r="I6" s="232">
        <v>0</v>
      </c>
      <c r="J6" s="231">
        <v>0</v>
      </c>
      <c r="K6" s="232">
        <v>0</v>
      </c>
      <c r="L6" s="231">
        <v>0</v>
      </c>
      <c r="M6" s="232">
        <v>0</v>
      </c>
      <c r="N6" s="231">
        <v>5000</v>
      </c>
      <c r="O6" s="232">
        <v>4200</v>
      </c>
      <c r="P6" s="231">
        <v>6496</v>
      </c>
      <c r="Q6" s="232">
        <v>7500</v>
      </c>
      <c r="R6" s="231">
        <v>0</v>
      </c>
      <c r="S6" s="232">
        <v>0</v>
      </c>
      <c r="T6" s="231">
        <v>0</v>
      </c>
      <c r="U6" s="232">
        <v>250</v>
      </c>
      <c r="V6" s="231">
        <v>0</v>
      </c>
      <c r="W6" s="232">
        <v>0</v>
      </c>
      <c r="X6" s="231">
        <v>0</v>
      </c>
      <c r="Y6" s="232">
        <v>0</v>
      </c>
      <c r="Z6" s="231">
        <v>0</v>
      </c>
      <c r="AA6" s="232">
        <v>350</v>
      </c>
      <c r="AB6" s="233">
        <f>Z6+X6+V6+T6+R6+P6+N6+L6+J6+H6+F6+D6</f>
        <v>11496</v>
      </c>
      <c r="AC6" s="233">
        <f>AA6+Y6+W6+U6+S6+Q6+O6+M6+K6+I6+G6+E6</f>
        <v>12300</v>
      </c>
      <c r="AD6" s="234">
        <f>AC6-AB6</f>
        <v>804</v>
      </c>
    </row>
    <row r="7" spans="1:30" x14ac:dyDescent="0.35">
      <c r="A7" s="228"/>
      <c r="B7" s="229" t="s">
        <v>237</v>
      </c>
      <c r="C7" s="230">
        <v>19058</v>
      </c>
      <c r="D7" s="231">
        <v>0</v>
      </c>
      <c r="E7" s="232">
        <v>0</v>
      </c>
      <c r="F7" s="231">
        <v>0</v>
      </c>
      <c r="G7" s="232">
        <v>0</v>
      </c>
      <c r="H7" s="231">
        <v>0</v>
      </c>
      <c r="I7" s="232">
        <v>0</v>
      </c>
      <c r="J7" s="231">
        <v>0</v>
      </c>
      <c r="K7" s="232">
        <v>0</v>
      </c>
      <c r="L7" s="231">
        <v>0</v>
      </c>
      <c r="M7" s="232">
        <v>0</v>
      </c>
      <c r="N7" s="231">
        <v>5000</v>
      </c>
      <c r="O7" s="232">
        <v>6000</v>
      </c>
      <c r="P7" s="231">
        <v>10000</v>
      </c>
      <c r="Q7" s="232">
        <v>8500</v>
      </c>
      <c r="R7" s="231">
        <v>4058</v>
      </c>
      <c r="S7" s="232">
        <v>5500</v>
      </c>
      <c r="T7" s="231">
        <v>0</v>
      </c>
      <c r="U7" s="232">
        <v>0</v>
      </c>
      <c r="V7" s="231">
        <v>0</v>
      </c>
      <c r="W7" s="232">
        <v>0</v>
      </c>
      <c r="X7" s="231">
        <v>0</v>
      </c>
      <c r="Y7" s="232">
        <v>0</v>
      </c>
      <c r="Z7" s="231">
        <v>0</v>
      </c>
      <c r="AA7" s="232">
        <v>0</v>
      </c>
      <c r="AB7" s="233">
        <f t="shared" ref="AB7:AC13" si="1">Z7+X7+V7+T7+R7+P7+N7+L7+J7+H7+F7+D7</f>
        <v>19058</v>
      </c>
      <c r="AC7" s="233">
        <f t="shared" si="1"/>
        <v>20000</v>
      </c>
      <c r="AD7" s="234">
        <f>AC7-AB7</f>
        <v>942</v>
      </c>
    </row>
    <row r="8" spans="1:30" x14ac:dyDescent="0.35">
      <c r="A8" s="228"/>
      <c r="B8" s="229"/>
      <c r="C8" s="230"/>
      <c r="D8" s="231">
        <v>0</v>
      </c>
      <c r="E8" s="232">
        <v>0</v>
      </c>
      <c r="F8" s="231">
        <v>0</v>
      </c>
      <c r="G8" s="232">
        <v>0</v>
      </c>
      <c r="H8" s="231">
        <v>0</v>
      </c>
      <c r="I8" s="232">
        <v>0</v>
      </c>
      <c r="J8" s="231">
        <v>0</v>
      </c>
      <c r="K8" s="232">
        <v>0</v>
      </c>
      <c r="L8" s="231">
        <v>0</v>
      </c>
      <c r="M8" s="232">
        <v>0</v>
      </c>
      <c r="N8" s="231">
        <v>0</v>
      </c>
      <c r="O8" s="232">
        <v>0</v>
      </c>
      <c r="P8" s="231">
        <v>0</v>
      </c>
      <c r="Q8" s="232">
        <v>0</v>
      </c>
      <c r="R8" s="231">
        <v>0</v>
      </c>
      <c r="S8" s="232">
        <v>0</v>
      </c>
      <c r="T8" s="231">
        <v>0</v>
      </c>
      <c r="U8" s="232">
        <v>0</v>
      </c>
      <c r="V8" s="231">
        <v>0</v>
      </c>
      <c r="W8" s="232">
        <v>0</v>
      </c>
      <c r="X8" s="231">
        <v>0</v>
      </c>
      <c r="Y8" s="232">
        <v>0</v>
      </c>
      <c r="Z8" s="231">
        <v>0</v>
      </c>
      <c r="AA8" s="232">
        <v>0</v>
      </c>
      <c r="AB8" s="233">
        <f t="shared" si="1"/>
        <v>0</v>
      </c>
      <c r="AC8" s="233">
        <f t="shared" si="1"/>
        <v>0</v>
      </c>
      <c r="AD8" s="234">
        <f t="shared" ref="AD8:AD13" si="2">AC8-AB8</f>
        <v>0</v>
      </c>
    </row>
    <row r="9" spans="1:30" x14ac:dyDescent="0.35">
      <c r="A9" s="228"/>
      <c r="B9" s="229"/>
      <c r="C9" s="230"/>
      <c r="D9" s="231">
        <v>0</v>
      </c>
      <c r="E9" s="232">
        <v>0</v>
      </c>
      <c r="F9" s="231">
        <v>0</v>
      </c>
      <c r="G9" s="232">
        <v>0</v>
      </c>
      <c r="H9" s="231">
        <v>0</v>
      </c>
      <c r="I9" s="232">
        <v>0</v>
      </c>
      <c r="J9" s="231">
        <v>0</v>
      </c>
      <c r="K9" s="232">
        <v>0</v>
      </c>
      <c r="L9" s="231">
        <v>0</v>
      </c>
      <c r="M9" s="232">
        <v>0</v>
      </c>
      <c r="N9" s="231">
        <v>0</v>
      </c>
      <c r="O9" s="232">
        <v>0</v>
      </c>
      <c r="P9" s="231">
        <v>0</v>
      </c>
      <c r="Q9" s="232">
        <v>0</v>
      </c>
      <c r="R9" s="231">
        <v>0</v>
      </c>
      <c r="S9" s="232">
        <v>0</v>
      </c>
      <c r="T9" s="231">
        <v>0</v>
      </c>
      <c r="U9" s="232">
        <v>0</v>
      </c>
      <c r="V9" s="231">
        <v>0</v>
      </c>
      <c r="W9" s="232">
        <v>0</v>
      </c>
      <c r="X9" s="231">
        <v>0</v>
      </c>
      <c r="Y9" s="232">
        <v>0</v>
      </c>
      <c r="Z9" s="231">
        <v>0</v>
      </c>
      <c r="AA9" s="232">
        <v>0</v>
      </c>
      <c r="AB9" s="233">
        <f t="shared" si="1"/>
        <v>0</v>
      </c>
      <c r="AC9" s="233">
        <f t="shared" si="1"/>
        <v>0</v>
      </c>
      <c r="AD9" s="234">
        <f t="shared" si="2"/>
        <v>0</v>
      </c>
    </row>
    <row r="10" spans="1:30" x14ac:dyDescent="0.35">
      <c r="A10" s="228"/>
      <c r="B10" s="229"/>
      <c r="C10" s="230"/>
      <c r="D10" s="231">
        <v>0</v>
      </c>
      <c r="E10" s="232">
        <v>0</v>
      </c>
      <c r="F10" s="231">
        <v>0</v>
      </c>
      <c r="G10" s="232">
        <v>0</v>
      </c>
      <c r="H10" s="231">
        <v>0</v>
      </c>
      <c r="I10" s="232">
        <v>0</v>
      </c>
      <c r="J10" s="231">
        <v>0</v>
      </c>
      <c r="K10" s="232">
        <v>0</v>
      </c>
      <c r="L10" s="231">
        <v>0</v>
      </c>
      <c r="M10" s="232">
        <v>0</v>
      </c>
      <c r="N10" s="231">
        <v>0</v>
      </c>
      <c r="O10" s="232">
        <v>0</v>
      </c>
      <c r="P10" s="231">
        <v>0</v>
      </c>
      <c r="Q10" s="232">
        <v>0</v>
      </c>
      <c r="R10" s="231">
        <v>0</v>
      </c>
      <c r="S10" s="232">
        <v>0</v>
      </c>
      <c r="T10" s="231">
        <v>0</v>
      </c>
      <c r="U10" s="232">
        <v>0</v>
      </c>
      <c r="V10" s="231">
        <v>0</v>
      </c>
      <c r="W10" s="232">
        <v>0</v>
      </c>
      <c r="X10" s="231">
        <v>0</v>
      </c>
      <c r="Y10" s="232">
        <v>0</v>
      </c>
      <c r="Z10" s="231">
        <v>0</v>
      </c>
      <c r="AA10" s="232">
        <v>0</v>
      </c>
      <c r="AB10" s="233">
        <f t="shared" si="1"/>
        <v>0</v>
      </c>
      <c r="AC10" s="233">
        <f t="shared" si="1"/>
        <v>0</v>
      </c>
      <c r="AD10" s="234">
        <f t="shared" si="2"/>
        <v>0</v>
      </c>
    </row>
    <row r="11" spans="1:30" x14ac:dyDescent="0.35">
      <c r="A11" s="228"/>
      <c r="B11" s="229"/>
      <c r="C11" s="230"/>
      <c r="D11" s="231">
        <v>0</v>
      </c>
      <c r="E11" s="232">
        <v>0</v>
      </c>
      <c r="F11" s="231">
        <v>0</v>
      </c>
      <c r="G11" s="232">
        <v>0</v>
      </c>
      <c r="H11" s="231">
        <v>0</v>
      </c>
      <c r="I11" s="232">
        <v>0</v>
      </c>
      <c r="J11" s="231">
        <v>0</v>
      </c>
      <c r="K11" s="232">
        <v>0</v>
      </c>
      <c r="L11" s="231">
        <v>0</v>
      </c>
      <c r="M11" s="232">
        <v>0</v>
      </c>
      <c r="N11" s="231">
        <v>0</v>
      </c>
      <c r="O11" s="232">
        <v>0</v>
      </c>
      <c r="P11" s="231">
        <v>0</v>
      </c>
      <c r="Q11" s="232">
        <v>0</v>
      </c>
      <c r="R11" s="231">
        <v>0</v>
      </c>
      <c r="S11" s="232">
        <v>0</v>
      </c>
      <c r="T11" s="231">
        <v>0</v>
      </c>
      <c r="U11" s="232">
        <v>0</v>
      </c>
      <c r="V11" s="231">
        <v>0</v>
      </c>
      <c r="W11" s="232">
        <v>0</v>
      </c>
      <c r="X11" s="231">
        <v>0</v>
      </c>
      <c r="Y11" s="232">
        <v>0</v>
      </c>
      <c r="Z11" s="231">
        <v>0</v>
      </c>
      <c r="AA11" s="232">
        <v>0</v>
      </c>
      <c r="AB11" s="233">
        <f t="shared" si="1"/>
        <v>0</v>
      </c>
      <c r="AC11" s="233">
        <f t="shared" si="1"/>
        <v>0</v>
      </c>
      <c r="AD11" s="234">
        <f t="shared" si="2"/>
        <v>0</v>
      </c>
    </row>
    <row r="12" spans="1:30" x14ac:dyDescent="0.35">
      <c r="A12" s="228"/>
      <c r="B12" s="229"/>
      <c r="C12" s="230"/>
      <c r="D12" s="231">
        <v>0</v>
      </c>
      <c r="E12" s="232">
        <v>0</v>
      </c>
      <c r="F12" s="231">
        <v>0</v>
      </c>
      <c r="G12" s="232">
        <v>0</v>
      </c>
      <c r="H12" s="231">
        <v>0</v>
      </c>
      <c r="I12" s="232">
        <v>0</v>
      </c>
      <c r="J12" s="231">
        <v>0</v>
      </c>
      <c r="K12" s="232">
        <v>0</v>
      </c>
      <c r="L12" s="231">
        <v>0</v>
      </c>
      <c r="M12" s="232">
        <v>0</v>
      </c>
      <c r="N12" s="231">
        <v>0</v>
      </c>
      <c r="O12" s="232">
        <v>0</v>
      </c>
      <c r="P12" s="231">
        <v>0</v>
      </c>
      <c r="Q12" s="232">
        <v>0</v>
      </c>
      <c r="R12" s="231">
        <v>0</v>
      </c>
      <c r="S12" s="232">
        <v>0</v>
      </c>
      <c r="T12" s="231">
        <v>0</v>
      </c>
      <c r="U12" s="232">
        <v>0</v>
      </c>
      <c r="V12" s="231">
        <v>0</v>
      </c>
      <c r="W12" s="232">
        <v>0</v>
      </c>
      <c r="X12" s="231">
        <v>0</v>
      </c>
      <c r="Y12" s="232">
        <v>0</v>
      </c>
      <c r="Z12" s="231">
        <v>0</v>
      </c>
      <c r="AA12" s="232">
        <v>0</v>
      </c>
      <c r="AB12" s="233">
        <f t="shared" si="1"/>
        <v>0</v>
      </c>
      <c r="AC12" s="233">
        <f t="shared" si="1"/>
        <v>0</v>
      </c>
      <c r="AD12" s="234">
        <f t="shared" si="2"/>
        <v>0</v>
      </c>
    </row>
    <row r="13" spans="1:30" ht="15" thickBot="1" x14ac:dyDescent="0.4">
      <c r="A13" s="228"/>
      <c r="B13" s="229"/>
      <c r="C13" s="230"/>
      <c r="D13" s="231">
        <v>0</v>
      </c>
      <c r="E13" s="232">
        <v>0</v>
      </c>
      <c r="F13" s="231">
        <v>0</v>
      </c>
      <c r="G13" s="232">
        <v>0</v>
      </c>
      <c r="H13" s="231">
        <v>0</v>
      </c>
      <c r="I13" s="232">
        <v>0</v>
      </c>
      <c r="J13" s="231">
        <v>0</v>
      </c>
      <c r="K13" s="232">
        <v>0</v>
      </c>
      <c r="L13" s="231">
        <v>0</v>
      </c>
      <c r="M13" s="232">
        <v>0</v>
      </c>
      <c r="N13" s="231">
        <v>0</v>
      </c>
      <c r="O13" s="232">
        <v>0</v>
      </c>
      <c r="P13" s="231">
        <v>0</v>
      </c>
      <c r="Q13" s="232">
        <v>0</v>
      </c>
      <c r="R13" s="231">
        <v>0</v>
      </c>
      <c r="S13" s="232">
        <v>0</v>
      </c>
      <c r="T13" s="231">
        <v>0</v>
      </c>
      <c r="U13" s="232">
        <v>0</v>
      </c>
      <c r="V13" s="231">
        <v>0</v>
      </c>
      <c r="W13" s="232">
        <v>0</v>
      </c>
      <c r="X13" s="231">
        <v>0</v>
      </c>
      <c r="Y13" s="232">
        <v>0</v>
      </c>
      <c r="Z13" s="231">
        <v>0</v>
      </c>
      <c r="AA13" s="232">
        <v>0</v>
      </c>
      <c r="AB13" s="233">
        <f t="shared" si="1"/>
        <v>0</v>
      </c>
      <c r="AC13" s="233">
        <f>AA13+Y13+W13+U13+S13+Q13+O13+M13+K13+I13+G13+E13</f>
        <v>0</v>
      </c>
      <c r="AD13" s="234">
        <f t="shared" si="2"/>
        <v>0</v>
      </c>
    </row>
    <row r="14" spans="1:30" s="133" customFormat="1" ht="15" thickBot="1" x14ac:dyDescent="0.4">
      <c r="A14" s="235" t="s">
        <v>222</v>
      </c>
      <c r="B14" s="220"/>
      <c r="C14" s="224">
        <f>SUM(C6:C13)</f>
        <v>30554</v>
      </c>
      <c r="D14" s="225">
        <f>SUM(D6:D13)</f>
        <v>0</v>
      </c>
      <c r="E14" s="236">
        <f t="shared" ref="E14:AD14" si="3">SUM(E6:E13)</f>
        <v>0</v>
      </c>
      <c r="F14" s="224">
        <f t="shared" si="3"/>
        <v>0</v>
      </c>
      <c r="G14" s="224">
        <f t="shared" si="3"/>
        <v>0</v>
      </c>
      <c r="H14" s="237">
        <f t="shared" si="3"/>
        <v>0</v>
      </c>
      <c r="I14" s="225">
        <f t="shared" si="3"/>
        <v>0</v>
      </c>
      <c r="J14" s="224">
        <f t="shared" si="3"/>
        <v>0</v>
      </c>
      <c r="K14" s="238">
        <f t="shared" si="3"/>
        <v>0</v>
      </c>
      <c r="L14" s="225">
        <f t="shared" si="3"/>
        <v>0</v>
      </c>
      <c r="M14" s="225">
        <f t="shared" si="3"/>
        <v>0</v>
      </c>
      <c r="N14" s="239">
        <f t="shared" si="3"/>
        <v>10000</v>
      </c>
      <c r="O14" s="238">
        <f t="shared" si="3"/>
        <v>10200</v>
      </c>
      <c r="P14" s="236">
        <f t="shared" si="3"/>
        <v>16496</v>
      </c>
      <c r="Q14" s="236">
        <f t="shared" si="3"/>
        <v>16000</v>
      </c>
      <c r="R14" s="238">
        <f t="shared" si="3"/>
        <v>4058</v>
      </c>
      <c r="S14" s="238">
        <f t="shared" si="3"/>
        <v>5500</v>
      </c>
      <c r="T14" s="236">
        <f t="shared" si="3"/>
        <v>0</v>
      </c>
      <c r="U14" s="236">
        <f t="shared" si="3"/>
        <v>250</v>
      </c>
      <c r="V14" s="238">
        <f t="shared" si="3"/>
        <v>0</v>
      </c>
      <c r="W14" s="238">
        <f t="shared" si="3"/>
        <v>0</v>
      </c>
      <c r="X14" s="236">
        <f t="shared" si="3"/>
        <v>0</v>
      </c>
      <c r="Y14" s="236">
        <f t="shared" si="3"/>
        <v>0</v>
      </c>
      <c r="Z14" s="238">
        <f t="shared" si="3"/>
        <v>0</v>
      </c>
      <c r="AA14" s="238">
        <f t="shared" si="3"/>
        <v>350</v>
      </c>
      <c r="AB14" s="240">
        <f t="shared" si="3"/>
        <v>30554</v>
      </c>
      <c r="AC14" s="240">
        <f t="shared" si="3"/>
        <v>32300</v>
      </c>
      <c r="AD14" s="241">
        <f t="shared" si="3"/>
        <v>1746</v>
      </c>
    </row>
    <row r="15" spans="1:30" x14ac:dyDescent="0.35">
      <c r="A15" s="228"/>
      <c r="B15" s="242"/>
      <c r="C15" s="243"/>
      <c r="D15" s="244"/>
      <c r="E15" s="245"/>
      <c r="F15" s="246"/>
      <c r="G15" s="246"/>
      <c r="H15" s="245"/>
      <c r="I15" s="244"/>
      <c r="J15" s="246"/>
      <c r="K15" s="247"/>
      <c r="L15" s="244"/>
      <c r="M15" s="244"/>
      <c r="N15" s="248"/>
      <c r="O15" s="249"/>
      <c r="P15" s="250"/>
      <c r="Q15" s="250"/>
      <c r="R15" s="251"/>
      <c r="S15" s="145"/>
      <c r="T15" s="252"/>
      <c r="U15" s="253"/>
      <c r="V15" s="145"/>
      <c r="W15" s="43"/>
      <c r="X15" s="252"/>
      <c r="Y15" s="253"/>
      <c r="Z15" s="145"/>
      <c r="AA15" s="145"/>
      <c r="AB15" s="254"/>
      <c r="AC15" s="254"/>
      <c r="AD15" s="255"/>
    </row>
    <row r="16" spans="1:30" x14ac:dyDescent="0.35">
      <c r="A16" s="228" t="s">
        <v>223</v>
      </c>
      <c r="B16" s="242"/>
      <c r="C16" s="243"/>
      <c r="D16" s="244"/>
      <c r="E16" s="245"/>
      <c r="F16" s="246"/>
      <c r="G16" s="246"/>
      <c r="H16" s="245"/>
      <c r="I16" s="244"/>
      <c r="J16" s="246"/>
      <c r="K16" s="247"/>
      <c r="L16" s="244"/>
      <c r="M16" s="244"/>
      <c r="N16" s="248"/>
      <c r="O16" s="249"/>
      <c r="P16" s="250"/>
      <c r="Q16" s="250"/>
      <c r="R16" s="251"/>
      <c r="S16" s="145"/>
      <c r="T16" s="252"/>
      <c r="U16" s="253"/>
      <c r="V16" s="145"/>
      <c r="W16" s="43"/>
      <c r="X16" s="252"/>
      <c r="Y16" s="253"/>
      <c r="Z16" s="145"/>
      <c r="AA16" s="145"/>
      <c r="AB16" s="254"/>
      <c r="AC16" s="254"/>
      <c r="AD16" s="255"/>
    </row>
    <row r="17" spans="1:30" x14ac:dyDescent="0.35">
      <c r="A17" s="228"/>
      <c r="B17" s="229" t="str">
        <f>'Direct Costs'!A7</f>
        <v>Feed (hay, grain, etc.)</v>
      </c>
      <c r="C17" s="230">
        <f>'Direct Costs'!C7</f>
        <v>1452</v>
      </c>
      <c r="D17" s="231">
        <v>117</v>
      </c>
      <c r="E17" s="232">
        <v>200</v>
      </c>
      <c r="F17" s="231">
        <v>117</v>
      </c>
      <c r="G17" s="232">
        <v>50</v>
      </c>
      <c r="H17" s="231">
        <v>117</v>
      </c>
      <c r="I17" s="232">
        <v>125</v>
      </c>
      <c r="J17" s="231">
        <v>117</v>
      </c>
      <c r="K17" s="232">
        <v>50</v>
      </c>
      <c r="L17" s="231">
        <v>117</v>
      </c>
      <c r="M17" s="232">
        <v>825</v>
      </c>
      <c r="N17" s="231">
        <v>117</v>
      </c>
      <c r="O17" s="232">
        <v>0</v>
      </c>
      <c r="P17" s="231">
        <v>117</v>
      </c>
      <c r="Q17" s="232">
        <v>0</v>
      </c>
      <c r="R17" s="231">
        <v>117</v>
      </c>
      <c r="S17" s="232">
        <v>0</v>
      </c>
      <c r="T17" s="231">
        <v>117</v>
      </c>
      <c r="U17" s="232">
        <v>125</v>
      </c>
      <c r="V17" s="231">
        <v>117</v>
      </c>
      <c r="W17" s="232">
        <v>130</v>
      </c>
      <c r="X17" s="231">
        <v>117</v>
      </c>
      <c r="Y17" s="232">
        <v>0</v>
      </c>
      <c r="Z17" s="231">
        <v>117</v>
      </c>
      <c r="AA17" s="232">
        <v>0</v>
      </c>
      <c r="AB17" s="233">
        <f>Z17+X17+V17+T17+R17+P17+N17+L17+J17+H17+F17+D17</f>
        <v>1404</v>
      </c>
      <c r="AC17" s="233">
        <f>AA17+Y17+W17+U17+S17+Q17+O17+M17+K17+I17+G17+E17</f>
        <v>1505</v>
      </c>
      <c r="AD17" s="234">
        <f>AC17-AB17</f>
        <v>101</v>
      </c>
    </row>
    <row r="18" spans="1:30" x14ac:dyDescent="0.35">
      <c r="A18" s="228"/>
      <c r="B18" s="229" t="str">
        <f>'Direct Costs'!A8</f>
        <v>Supplement (minerals, protein)</v>
      </c>
      <c r="C18" s="230">
        <f>'Direct Costs'!C8</f>
        <v>605</v>
      </c>
      <c r="D18" s="231">
        <v>49</v>
      </c>
      <c r="E18" s="232">
        <v>0</v>
      </c>
      <c r="F18" s="231">
        <v>49</v>
      </c>
      <c r="G18" s="232">
        <v>0</v>
      </c>
      <c r="H18" s="231">
        <v>49</v>
      </c>
      <c r="I18" s="232">
        <v>0</v>
      </c>
      <c r="J18" s="231">
        <v>49</v>
      </c>
      <c r="K18" s="232">
        <v>0</v>
      </c>
      <c r="L18" s="231">
        <v>49</v>
      </c>
      <c r="M18" s="232">
        <v>0</v>
      </c>
      <c r="N18" s="231">
        <v>49</v>
      </c>
      <c r="O18" s="232">
        <v>450</v>
      </c>
      <c r="P18" s="231">
        <v>49</v>
      </c>
      <c r="Q18" s="232">
        <v>0</v>
      </c>
      <c r="R18" s="231">
        <v>49</v>
      </c>
      <c r="S18" s="232">
        <v>0</v>
      </c>
      <c r="T18" s="231">
        <v>49</v>
      </c>
      <c r="U18" s="232">
        <v>0</v>
      </c>
      <c r="V18" s="231">
        <v>49</v>
      </c>
      <c r="W18" s="232">
        <v>0</v>
      </c>
      <c r="X18" s="231">
        <v>49</v>
      </c>
      <c r="Y18" s="232">
        <v>0</v>
      </c>
      <c r="Z18" s="231">
        <v>49</v>
      </c>
      <c r="AA18" s="232">
        <v>0</v>
      </c>
      <c r="AB18" s="233">
        <f t="shared" ref="AB18:AC23" si="4">Z18+X18+V18+T18+R18+P18+N18+L18+J18+H18+F18+D18</f>
        <v>588</v>
      </c>
      <c r="AC18" s="233">
        <f t="shared" si="4"/>
        <v>450</v>
      </c>
      <c r="AD18" s="234">
        <f t="shared" ref="AD18:AD23" si="5">AC18-AB18</f>
        <v>-138</v>
      </c>
    </row>
    <row r="19" spans="1:30" x14ac:dyDescent="0.35">
      <c r="A19" s="228"/>
      <c r="B19" s="229" t="str">
        <f>'Direct Costs'!A9</f>
        <v>Animal Health</v>
      </c>
      <c r="C19" s="230">
        <f>'Direct Costs'!C9</f>
        <v>1815</v>
      </c>
      <c r="D19" s="231">
        <v>117</v>
      </c>
      <c r="E19" s="232">
        <v>250</v>
      </c>
      <c r="F19" s="231">
        <v>117</v>
      </c>
      <c r="G19" s="232">
        <v>0</v>
      </c>
      <c r="H19" s="231">
        <v>117</v>
      </c>
      <c r="I19" s="232">
        <v>0</v>
      </c>
      <c r="J19" s="231">
        <v>117</v>
      </c>
      <c r="K19" s="232">
        <v>275</v>
      </c>
      <c r="L19" s="231">
        <v>117</v>
      </c>
      <c r="M19" s="232">
        <v>0</v>
      </c>
      <c r="N19" s="231">
        <v>117</v>
      </c>
      <c r="O19" s="232">
        <v>0</v>
      </c>
      <c r="P19" s="231">
        <v>117</v>
      </c>
      <c r="Q19" s="232">
        <v>0</v>
      </c>
      <c r="R19" s="231">
        <v>117</v>
      </c>
      <c r="S19" s="232">
        <v>0</v>
      </c>
      <c r="T19" s="231">
        <v>117</v>
      </c>
      <c r="U19" s="232">
        <v>0</v>
      </c>
      <c r="V19" s="231">
        <v>117</v>
      </c>
      <c r="W19" s="232">
        <v>0</v>
      </c>
      <c r="X19" s="231">
        <v>117</v>
      </c>
      <c r="Y19" s="232">
        <v>0</v>
      </c>
      <c r="Z19" s="231">
        <v>117</v>
      </c>
      <c r="AA19" s="232">
        <v>0</v>
      </c>
      <c r="AB19" s="233">
        <f t="shared" si="4"/>
        <v>1404</v>
      </c>
      <c r="AC19" s="233">
        <f t="shared" si="4"/>
        <v>525</v>
      </c>
      <c r="AD19" s="234">
        <f t="shared" si="5"/>
        <v>-879</v>
      </c>
    </row>
    <row r="20" spans="1:30" x14ac:dyDescent="0.35">
      <c r="A20" s="228"/>
      <c r="B20" s="229" t="str">
        <f>'Direct Costs'!A10</f>
        <v>Marketing (commission, yardage)</v>
      </c>
      <c r="C20" s="230">
        <f>'Direct Costs'!C10</f>
        <v>605</v>
      </c>
      <c r="D20" s="231">
        <v>0</v>
      </c>
      <c r="E20" s="232">
        <v>0</v>
      </c>
      <c r="F20" s="231">
        <v>0</v>
      </c>
      <c r="G20" s="232">
        <v>0</v>
      </c>
      <c r="H20" s="231">
        <v>0</v>
      </c>
      <c r="I20" s="232">
        <v>0</v>
      </c>
      <c r="J20" s="231">
        <v>0</v>
      </c>
      <c r="K20" s="232">
        <v>0</v>
      </c>
      <c r="L20" s="231">
        <v>0</v>
      </c>
      <c r="M20" s="232">
        <v>0</v>
      </c>
      <c r="N20" s="231">
        <v>585</v>
      </c>
      <c r="O20" s="232">
        <v>430</v>
      </c>
      <c r="P20" s="231">
        <v>0</v>
      </c>
      <c r="Q20" s="232">
        <v>155</v>
      </c>
      <c r="R20" s="231">
        <v>0</v>
      </c>
      <c r="S20" s="232">
        <v>0</v>
      </c>
      <c r="T20" s="231">
        <v>0</v>
      </c>
      <c r="U20" s="232">
        <v>0</v>
      </c>
      <c r="V20" s="231">
        <v>0</v>
      </c>
      <c r="W20" s="232">
        <v>0</v>
      </c>
      <c r="X20" s="231">
        <v>0</v>
      </c>
      <c r="Y20" s="232">
        <v>0</v>
      </c>
      <c r="Z20" s="231">
        <v>0</v>
      </c>
      <c r="AA20" s="232">
        <v>0</v>
      </c>
      <c r="AB20" s="233">
        <f t="shared" si="4"/>
        <v>585</v>
      </c>
      <c r="AC20" s="233">
        <f t="shared" si="4"/>
        <v>585</v>
      </c>
      <c r="AD20" s="234">
        <f t="shared" si="5"/>
        <v>0</v>
      </c>
    </row>
    <row r="21" spans="1:30" x14ac:dyDescent="0.35">
      <c r="A21" s="228"/>
      <c r="B21" s="229" t="str">
        <f>'Direct Costs'!A11</f>
        <v>Transportation</v>
      </c>
      <c r="C21" s="230">
        <f>'Direct Costs'!C11</f>
        <v>3025</v>
      </c>
      <c r="D21" s="231">
        <v>0</v>
      </c>
      <c r="E21" s="232">
        <v>0</v>
      </c>
      <c r="F21" s="231">
        <v>0</v>
      </c>
      <c r="G21" s="232">
        <v>0</v>
      </c>
      <c r="H21" s="231">
        <v>0</v>
      </c>
      <c r="I21" s="232">
        <v>0</v>
      </c>
      <c r="J21" s="231">
        <v>0</v>
      </c>
      <c r="K21" s="232">
        <v>150</v>
      </c>
      <c r="L21" s="231">
        <v>400</v>
      </c>
      <c r="M21" s="232">
        <v>150</v>
      </c>
      <c r="N21" s="231">
        <v>400</v>
      </c>
      <c r="O21" s="232">
        <v>250</v>
      </c>
      <c r="P21" s="231">
        <v>400</v>
      </c>
      <c r="Q21" s="232">
        <v>0</v>
      </c>
      <c r="R21" s="231">
        <v>204</v>
      </c>
      <c r="S21" s="232">
        <v>250</v>
      </c>
      <c r="T21" s="231">
        <v>0</v>
      </c>
      <c r="U21" s="232">
        <v>0</v>
      </c>
      <c r="V21" s="231">
        <v>0</v>
      </c>
      <c r="W21" s="232">
        <v>0</v>
      </c>
      <c r="X21" s="231">
        <v>0</v>
      </c>
      <c r="Y21" s="232">
        <v>0</v>
      </c>
      <c r="Z21" s="231">
        <v>0</v>
      </c>
      <c r="AA21" s="232">
        <v>0</v>
      </c>
      <c r="AB21" s="233">
        <f t="shared" si="4"/>
        <v>1404</v>
      </c>
      <c r="AC21" s="233">
        <f t="shared" si="4"/>
        <v>800</v>
      </c>
      <c r="AD21" s="234">
        <f t="shared" si="5"/>
        <v>-604</v>
      </c>
    </row>
    <row r="22" spans="1:30" x14ac:dyDescent="0.35">
      <c r="A22" s="228"/>
      <c r="B22" s="229" t="str">
        <f>'Direct Costs'!A12</f>
        <v>Shearing</v>
      </c>
      <c r="C22" s="230">
        <f>'Direct Costs'!C12</f>
        <v>605</v>
      </c>
      <c r="D22" s="231">
        <v>0</v>
      </c>
      <c r="E22" s="232">
        <v>0</v>
      </c>
      <c r="F22" s="231">
        <v>0</v>
      </c>
      <c r="G22" s="232">
        <v>0</v>
      </c>
      <c r="H22" s="231">
        <v>0</v>
      </c>
      <c r="I22" s="232">
        <v>0</v>
      </c>
      <c r="J22" s="231">
        <v>0</v>
      </c>
      <c r="K22" s="232">
        <v>0</v>
      </c>
      <c r="L22" s="231">
        <v>468</v>
      </c>
      <c r="M22" s="232">
        <v>450</v>
      </c>
      <c r="N22" s="231">
        <v>0</v>
      </c>
      <c r="O22" s="232">
        <v>0</v>
      </c>
      <c r="P22" s="231">
        <v>0</v>
      </c>
      <c r="Q22" s="232">
        <v>0</v>
      </c>
      <c r="R22" s="231">
        <v>0</v>
      </c>
      <c r="S22" s="232">
        <v>0</v>
      </c>
      <c r="T22" s="231">
        <v>0</v>
      </c>
      <c r="U22" s="232">
        <v>0</v>
      </c>
      <c r="V22" s="231">
        <v>0</v>
      </c>
      <c r="W22" s="232">
        <v>0</v>
      </c>
      <c r="X22" s="231">
        <v>0</v>
      </c>
      <c r="Y22" s="232">
        <v>0</v>
      </c>
      <c r="Z22" s="231">
        <v>0</v>
      </c>
      <c r="AA22" s="232">
        <v>0</v>
      </c>
      <c r="AB22" s="233">
        <f t="shared" si="4"/>
        <v>468</v>
      </c>
      <c r="AC22" s="233">
        <f t="shared" si="4"/>
        <v>450</v>
      </c>
      <c r="AD22" s="234">
        <f t="shared" si="5"/>
        <v>-18</v>
      </c>
    </row>
    <row r="23" spans="1:30" x14ac:dyDescent="0.35">
      <c r="A23" s="228"/>
      <c r="B23" s="229" t="str">
        <f>'Direct Costs'!A13</f>
        <v>Livestock ID (ear tags, etc.)</v>
      </c>
      <c r="C23" s="230">
        <f>'Direct Costs'!C13</f>
        <v>181.5</v>
      </c>
      <c r="D23" s="231">
        <v>0</v>
      </c>
      <c r="E23" s="232">
        <v>0</v>
      </c>
      <c r="F23" s="231">
        <v>0</v>
      </c>
      <c r="G23" s="232">
        <v>0</v>
      </c>
      <c r="H23" s="231">
        <v>0</v>
      </c>
      <c r="I23" s="232">
        <v>0</v>
      </c>
      <c r="J23" s="231">
        <v>0</v>
      </c>
      <c r="K23" s="232">
        <v>0</v>
      </c>
      <c r="L23" s="231">
        <v>0</v>
      </c>
      <c r="M23" s="232">
        <v>0</v>
      </c>
      <c r="N23" s="231">
        <v>0</v>
      </c>
      <c r="O23" s="232">
        <v>0</v>
      </c>
      <c r="P23" s="231">
        <v>0</v>
      </c>
      <c r="Q23" s="232">
        <v>0</v>
      </c>
      <c r="R23" s="231">
        <v>0</v>
      </c>
      <c r="S23" s="232">
        <v>0</v>
      </c>
      <c r="T23" s="231">
        <v>0</v>
      </c>
      <c r="U23" s="232">
        <v>0</v>
      </c>
      <c r="V23" s="231">
        <v>0</v>
      </c>
      <c r="W23" s="232">
        <v>0</v>
      </c>
      <c r="X23" s="231">
        <v>0</v>
      </c>
      <c r="Y23" s="232">
        <v>0</v>
      </c>
      <c r="Z23" s="231">
        <v>176</v>
      </c>
      <c r="AA23" s="232">
        <v>190</v>
      </c>
      <c r="AB23" s="233">
        <f t="shared" si="4"/>
        <v>176</v>
      </c>
      <c r="AC23" s="233">
        <f t="shared" si="4"/>
        <v>190</v>
      </c>
      <c r="AD23" s="234">
        <f t="shared" si="5"/>
        <v>14</v>
      </c>
    </row>
    <row r="24" spans="1:30" ht="15" thickBot="1" x14ac:dyDescent="0.4">
      <c r="A24" s="228"/>
      <c r="B24" s="229" t="str">
        <f>'Direct Costs'!A14</f>
        <v>Other</v>
      </c>
      <c r="C24" s="230">
        <f>'Direct Costs'!C14</f>
        <v>0</v>
      </c>
      <c r="D24" s="231">
        <v>0</v>
      </c>
      <c r="E24" s="232">
        <v>0</v>
      </c>
      <c r="F24" s="231">
        <v>0</v>
      </c>
      <c r="G24" s="232">
        <v>0</v>
      </c>
      <c r="H24" s="231">
        <v>0</v>
      </c>
      <c r="I24" s="232">
        <v>0</v>
      </c>
      <c r="J24" s="231">
        <v>0</v>
      </c>
      <c r="K24" s="232">
        <v>0</v>
      </c>
      <c r="L24" s="231">
        <v>0</v>
      </c>
      <c r="M24" s="232">
        <v>0</v>
      </c>
      <c r="N24" s="231">
        <v>0</v>
      </c>
      <c r="O24" s="232">
        <v>0</v>
      </c>
      <c r="P24" s="231">
        <v>0</v>
      </c>
      <c r="Q24" s="232">
        <v>0</v>
      </c>
      <c r="R24" s="231">
        <v>0</v>
      </c>
      <c r="S24" s="232">
        <v>0</v>
      </c>
      <c r="T24" s="231">
        <v>0</v>
      </c>
      <c r="U24" s="232">
        <v>0</v>
      </c>
      <c r="V24" s="231">
        <v>0</v>
      </c>
      <c r="W24" s="232">
        <v>0</v>
      </c>
      <c r="X24" s="231">
        <v>0</v>
      </c>
      <c r="Y24" s="232">
        <v>0</v>
      </c>
      <c r="Z24" s="231">
        <v>0</v>
      </c>
      <c r="AA24" s="232">
        <v>0</v>
      </c>
      <c r="AB24" s="233">
        <f>Z24+X24+V24+T24+R24+P24+N24+L24+J24+H24+F24+D24</f>
        <v>0</v>
      </c>
      <c r="AC24" s="233">
        <f>AA24+Y24+W24+U24+S24+Q24+O24+M24+K24+I24+G24+E24</f>
        <v>0</v>
      </c>
      <c r="AD24" s="234">
        <f>AC24-AB24</f>
        <v>0</v>
      </c>
    </row>
    <row r="25" spans="1:30" s="133" customFormat="1" ht="15" thickBot="1" x14ac:dyDescent="0.4">
      <c r="A25" s="235" t="s">
        <v>113</v>
      </c>
      <c r="B25" s="256"/>
      <c r="C25" s="224">
        <f>SUM(C17:C24)</f>
        <v>8288.5</v>
      </c>
      <c r="D25" s="225">
        <f>SUM(D17:D24)</f>
        <v>283</v>
      </c>
      <c r="E25" s="236">
        <f t="shared" ref="E25:AD25" si="6">SUM(E17:E24)</f>
        <v>450</v>
      </c>
      <c r="F25" s="224">
        <f t="shared" si="6"/>
        <v>283</v>
      </c>
      <c r="G25" s="224">
        <f t="shared" si="6"/>
        <v>50</v>
      </c>
      <c r="H25" s="237">
        <f t="shared" si="6"/>
        <v>283</v>
      </c>
      <c r="I25" s="225">
        <f t="shared" si="6"/>
        <v>125</v>
      </c>
      <c r="J25" s="224">
        <f t="shared" si="6"/>
        <v>283</v>
      </c>
      <c r="K25" s="238">
        <f t="shared" si="6"/>
        <v>475</v>
      </c>
      <c r="L25" s="225">
        <f t="shared" si="6"/>
        <v>1151</v>
      </c>
      <c r="M25" s="225">
        <f t="shared" si="6"/>
        <v>1425</v>
      </c>
      <c r="N25" s="239">
        <f t="shared" si="6"/>
        <v>1268</v>
      </c>
      <c r="O25" s="238">
        <f t="shared" si="6"/>
        <v>1130</v>
      </c>
      <c r="P25" s="236">
        <f t="shared" si="6"/>
        <v>683</v>
      </c>
      <c r="Q25" s="236">
        <f t="shared" si="6"/>
        <v>155</v>
      </c>
      <c r="R25" s="238">
        <f t="shared" si="6"/>
        <v>487</v>
      </c>
      <c r="S25" s="238">
        <f t="shared" si="6"/>
        <v>250</v>
      </c>
      <c r="T25" s="236">
        <f t="shared" si="6"/>
        <v>283</v>
      </c>
      <c r="U25" s="236">
        <f t="shared" si="6"/>
        <v>125</v>
      </c>
      <c r="V25" s="238">
        <f t="shared" si="6"/>
        <v>283</v>
      </c>
      <c r="W25" s="238">
        <f t="shared" si="6"/>
        <v>130</v>
      </c>
      <c r="X25" s="236">
        <f t="shared" si="6"/>
        <v>283</v>
      </c>
      <c r="Y25" s="236">
        <f t="shared" si="6"/>
        <v>0</v>
      </c>
      <c r="Z25" s="238">
        <f t="shared" si="6"/>
        <v>459</v>
      </c>
      <c r="AA25" s="238">
        <f t="shared" si="6"/>
        <v>190</v>
      </c>
      <c r="AB25" s="236">
        <f t="shared" si="6"/>
        <v>6029</v>
      </c>
      <c r="AC25" s="236">
        <f t="shared" si="6"/>
        <v>4505</v>
      </c>
      <c r="AD25" s="236">
        <f t="shared" si="6"/>
        <v>-1524</v>
      </c>
    </row>
    <row r="26" spans="1:30" x14ac:dyDescent="0.35">
      <c r="A26" s="228"/>
      <c r="B26" s="242"/>
      <c r="C26" s="243"/>
      <c r="D26" s="244"/>
      <c r="E26" s="245"/>
      <c r="F26" s="246"/>
      <c r="G26" s="246"/>
      <c r="H26" s="245"/>
      <c r="I26" s="244"/>
      <c r="J26" s="246"/>
      <c r="K26" s="247"/>
      <c r="L26" s="244"/>
      <c r="M26" s="244"/>
      <c r="N26" s="248"/>
      <c r="O26" s="249"/>
      <c r="P26" s="250"/>
      <c r="Q26" s="250"/>
      <c r="R26" s="251"/>
      <c r="S26" s="145"/>
      <c r="T26" s="252"/>
      <c r="U26" s="253"/>
      <c r="V26" s="145"/>
      <c r="W26" s="43"/>
      <c r="X26" s="252"/>
      <c r="Y26" s="253"/>
      <c r="Z26" s="145"/>
      <c r="AA26" s="145"/>
      <c r="AB26" s="254"/>
      <c r="AC26" s="254"/>
      <c r="AD26" s="255"/>
    </row>
    <row r="27" spans="1:30" x14ac:dyDescent="0.35">
      <c r="A27" s="228" t="s">
        <v>224</v>
      </c>
      <c r="B27" s="242"/>
      <c r="C27" s="243"/>
      <c r="D27" s="244"/>
      <c r="E27" s="245"/>
      <c r="F27" s="246"/>
      <c r="G27" s="246"/>
      <c r="H27" s="245"/>
      <c r="I27" s="244"/>
      <c r="J27" s="246"/>
      <c r="K27" s="247"/>
      <c r="L27" s="244"/>
      <c r="M27" s="244"/>
      <c r="N27" s="248"/>
      <c r="O27" s="249"/>
      <c r="P27" s="250"/>
      <c r="Q27" s="250"/>
      <c r="R27" s="251"/>
      <c r="S27" s="145"/>
      <c r="T27" s="252"/>
      <c r="U27" s="253"/>
      <c r="V27" s="145"/>
      <c r="W27" s="43"/>
      <c r="X27" s="252"/>
      <c r="Y27" s="253"/>
      <c r="Z27" s="145"/>
      <c r="AA27" s="145"/>
      <c r="AB27" s="254"/>
      <c r="AC27" s="254"/>
      <c r="AD27" s="255"/>
    </row>
    <row r="28" spans="1:30" x14ac:dyDescent="0.35">
      <c r="A28" s="228"/>
      <c r="B28" s="229" t="str">
        <f>'Cash Overhead'!B15</f>
        <v>Total Fuel Expense</v>
      </c>
      <c r="C28" s="230">
        <f>'Cash Overhead'!C15</f>
        <v>2250</v>
      </c>
      <c r="D28" s="231">
        <v>50</v>
      </c>
      <c r="E28" s="232">
        <v>0</v>
      </c>
      <c r="F28" s="231">
        <v>50</v>
      </c>
      <c r="G28" s="232">
        <v>0</v>
      </c>
      <c r="H28" s="231">
        <v>50</v>
      </c>
      <c r="I28" s="232">
        <v>0</v>
      </c>
      <c r="J28" s="231">
        <v>50</v>
      </c>
      <c r="K28" s="232">
        <v>0</v>
      </c>
      <c r="L28" s="231">
        <v>50</v>
      </c>
      <c r="M28" s="232">
        <v>125</v>
      </c>
      <c r="N28" s="231">
        <v>50</v>
      </c>
      <c r="O28" s="232">
        <v>250</v>
      </c>
      <c r="P28" s="231">
        <v>50</v>
      </c>
      <c r="Q28" s="232">
        <v>125</v>
      </c>
      <c r="R28" s="231">
        <v>50</v>
      </c>
      <c r="S28" s="232">
        <v>0</v>
      </c>
      <c r="T28" s="231">
        <v>50</v>
      </c>
      <c r="U28" s="232">
        <v>0</v>
      </c>
      <c r="V28" s="231">
        <v>50</v>
      </c>
      <c r="W28" s="232">
        <v>0</v>
      </c>
      <c r="X28" s="231">
        <v>50</v>
      </c>
      <c r="Y28" s="232">
        <v>0</v>
      </c>
      <c r="Z28" s="231">
        <v>50</v>
      </c>
      <c r="AA28" s="232">
        <v>0</v>
      </c>
      <c r="AB28" s="233">
        <f>Z28+X28+V28+T28+R28+P28+N28+L28+J28+H28+F28+D28</f>
        <v>600</v>
      </c>
      <c r="AC28" s="233">
        <f>AA28+Y28+W28+U28+S28+Q28+O28+M28+K28+I28+G28+E28</f>
        <v>500</v>
      </c>
      <c r="AD28" s="234">
        <f>AC28-AB28</f>
        <v>-100</v>
      </c>
    </row>
    <row r="29" spans="1:30" x14ac:dyDescent="0.35">
      <c r="A29" s="228"/>
      <c r="B29" s="229" t="str">
        <f>'Cash Overhead'!B22</f>
        <v>Total Utilities</v>
      </c>
      <c r="C29" s="230">
        <f>'Cash Overhead'!C22</f>
        <v>1200</v>
      </c>
      <c r="D29" s="231">
        <v>0</v>
      </c>
      <c r="E29" s="232">
        <v>0</v>
      </c>
      <c r="F29" s="231">
        <v>0</v>
      </c>
      <c r="G29" s="232">
        <v>0</v>
      </c>
      <c r="H29" s="231">
        <v>0</v>
      </c>
      <c r="I29" s="232">
        <v>0</v>
      </c>
      <c r="J29" s="231">
        <v>0</v>
      </c>
      <c r="K29" s="232">
        <v>0</v>
      </c>
      <c r="L29" s="231">
        <v>0</v>
      </c>
      <c r="M29" s="232">
        <v>0</v>
      </c>
      <c r="N29" s="231">
        <v>0</v>
      </c>
      <c r="O29" s="232">
        <v>0</v>
      </c>
      <c r="P29" s="231">
        <v>0</v>
      </c>
      <c r="Q29" s="232">
        <v>0</v>
      </c>
      <c r="R29" s="231">
        <v>0</v>
      </c>
      <c r="S29" s="232">
        <v>0</v>
      </c>
      <c r="T29" s="231">
        <v>0</v>
      </c>
      <c r="U29" s="232">
        <v>0</v>
      </c>
      <c r="V29" s="231">
        <v>0</v>
      </c>
      <c r="W29" s="232">
        <v>0</v>
      </c>
      <c r="X29" s="231">
        <v>0</v>
      </c>
      <c r="Y29" s="232">
        <v>0</v>
      </c>
      <c r="Z29" s="231">
        <v>0</v>
      </c>
      <c r="AA29" s="232">
        <v>0</v>
      </c>
      <c r="AB29" s="233">
        <f t="shared" ref="AB29:AC32" si="7">Z29+X29+V29+T29+R29+P29+N29+L29+J29+H29+F29+D29</f>
        <v>0</v>
      </c>
      <c r="AC29" s="233">
        <f t="shared" si="7"/>
        <v>0</v>
      </c>
      <c r="AD29" s="234">
        <f t="shared" ref="AD29:AD32" si="8">AC29-AB29</f>
        <v>0</v>
      </c>
    </row>
    <row r="30" spans="1:30" x14ac:dyDescent="0.35">
      <c r="A30" s="228"/>
      <c r="B30" s="229" t="str">
        <f>'Cash Overhead'!B26</f>
        <v>Total Insurance</v>
      </c>
      <c r="C30" s="230">
        <f>'Cash Overhead'!C26</f>
        <v>3000</v>
      </c>
      <c r="D30" s="231">
        <v>0</v>
      </c>
      <c r="E30" s="232">
        <v>0</v>
      </c>
      <c r="F30" s="231">
        <v>0</v>
      </c>
      <c r="G30" s="232">
        <v>0</v>
      </c>
      <c r="H30" s="231">
        <v>500</v>
      </c>
      <c r="I30" s="232">
        <v>495</v>
      </c>
      <c r="J30" s="231">
        <v>0</v>
      </c>
      <c r="K30" s="232">
        <v>0</v>
      </c>
      <c r="L30" s="231">
        <v>0</v>
      </c>
      <c r="M30" s="232">
        <v>0</v>
      </c>
      <c r="N30" s="231">
        <v>0</v>
      </c>
      <c r="O30" s="232">
        <v>0</v>
      </c>
      <c r="P30" s="231">
        <v>0</v>
      </c>
      <c r="Q30" s="232">
        <v>0</v>
      </c>
      <c r="R30" s="231">
        <v>0</v>
      </c>
      <c r="S30" s="232">
        <v>0</v>
      </c>
      <c r="T30" s="231">
        <v>0</v>
      </c>
      <c r="U30" s="232">
        <v>0</v>
      </c>
      <c r="V30" s="231">
        <v>0</v>
      </c>
      <c r="W30" s="232">
        <v>0</v>
      </c>
      <c r="X30" s="231">
        <v>0</v>
      </c>
      <c r="Y30" s="232">
        <v>0</v>
      </c>
      <c r="Z30" s="231">
        <v>0</v>
      </c>
      <c r="AA30" s="232">
        <v>0</v>
      </c>
      <c r="AB30" s="233">
        <f t="shared" si="7"/>
        <v>500</v>
      </c>
      <c r="AC30" s="233">
        <f t="shared" si="7"/>
        <v>495</v>
      </c>
      <c r="AD30" s="234">
        <f t="shared" si="8"/>
        <v>-5</v>
      </c>
    </row>
    <row r="31" spans="1:30" x14ac:dyDescent="0.35">
      <c r="A31" s="228"/>
      <c r="B31" s="229" t="str">
        <f>'Cash Overhead'!B30</f>
        <v>Total Repairs and Maintenance</v>
      </c>
      <c r="C31" s="230">
        <f>'Cash Overhead'!C30</f>
        <v>1000</v>
      </c>
      <c r="D31" s="231">
        <v>0</v>
      </c>
      <c r="E31" s="232">
        <v>0</v>
      </c>
      <c r="F31" s="231">
        <v>0</v>
      </c>
      <c r="G31" s="232">
        <v>0</v>
      </c>
      <c r="H31" s="231">
        <v>0</v>
      </c>
      <c r="I31" s="232">
        <v>0</v>
      </c>
      <c r="J31" s="231">
        <v>0</v>
      </c>
      <c r="K31" s="232">
        <v>0</v>
      </c>
      <c r="L31" s="231">
        <v>0</v>
      </c>
      <c r="M31" s="232">
        <v>0</v>
      </c>
      <c r="N31" s="231">
        <v>250</v>
      </c>
      <c r="O31" s="232">
        <v>300</v>
      </c>
      <c r="P31" s="231">
        <v>0</v>
      </c>
      <c r="Q31" s="232">
        <v>0</v>
      </c>
      <c r="R31" s="231">
        <v>0</v>
      </c>
      <c r="S31" s="232">
        <v>0</v>
      </c>
      <c r="T31" s="231">
        <v>0</v>
      </c>
      <c r="U31" s="232">
        <v>0</v>
      </c>
      <c r="V31" s="231">
        <v>0</v>
      </c>
      <c r="W31" s="232">
        <v>0</v>
      </c>
      <c r="X31" s="231">
        <v>0</v>
      </c>
      <c r="Y31" s="232">
        <v>0</v>
      </c>
      <c r="Z31" s="231">
        <v>0</v>
      </c>
      <c r="AA31" s="232">
        <v>0</v>
      </c>
      <c r="AB31" s="233">
        <f t="shared" si="7"/>
        <v>250</v>
      </c>
      <c r="AC31" s="233">
        <f t="shared" si="7"/>
        <v>300</v>
      </c>
      <c r="AD31" s="234">
        <f t="shared" si="8"/>
        <v>50</v>
      </c>
    </row>
    <row r="32" spans="1:30" x14ac:dyDescent="0.35">
      <c r="A32" s="228"/>
      <c r="B32" s="229" t="str">
        <f>'Cash Overhead'!B39</f>
        <v>Total Administrative Expenses</v>
      </c>
      <c r="C32" s="230">
        <f>'Cash Overhead'!C39</f>
        <v>1700</v>
      </c>
      <c r="D32" s="231">
        <v>0</v>
      </c>
      <c r="E32" s="232">
        <v>0</v>
      </c>
      <c r="F32" s="231">
        <v>0</v>
      </c>
      <c r="G32" s="232">
        <v>0</v>
      </c>
      <c r="H32" s="231">
        <v>0</v>
      </c>
      <c r="I32" s="232">
        <v>0</v>
      </c>
      <c r="J32" s="231">
        <v>200</v>
      </c>
      <c r="K32" s="232">
        <v>200</v>
      </c>
      <c r="L32" s="231">
        <v>0</v>
      </c>
      <c r="M32" s="232">
        <v>0</v>
      </c>
      <c r="N32" s="231">
        <v>0</v>
      </c>
      <c r="O32" s="232">
        <v>0</v>
      </c>
      <c r="P32" s="231">
        <v>0</v>
      </c>
      <c r="Q32" s="232">
        <v>0</v>
      </c>
      <c r="R32" s="231">
        <v>0</v>
      </c>
      <c r="S32" s="232">
        <v>0</v>
      </c>
      <c r="T32" s="231">
        <v>0</v>
      </c>
      <c r="U32" s="232">
        <v>0</v>
      </c>
      <c r="V32" s="231">
        <v>0</v>
      </c>
      <c r="W32" s="232">
        <v>0</v>
      </c>
      <c r="X32" s="231">
        <v>0</v>
      </c>
      <c r="Y32" s="232">
        <v>0</v>
      </c>
      <c r="Z32" s="231">
        <v>0</v>
      </c>
      <c r="AA32" s="232">
        <v>0</v>
      </c>
      <c r="AB32" s="233">
        <f t="shared" si="7"/>
        <v>200</v>
      </c>
      <c r="AC32" s="233">
        <f t="shared" si="7"/>
        <v>200</v>
      </c>
      <c r="AD32" s="234">
        <f t="shared" si="8"/>
        <v>0</v>
      </c>
    </row>
    <row r="33" spans="1:30" x14ac:dyDescent="0.35">
      <c r="A33" s="228"/>
      <c r="B33" s="229" t="str">
        <f>'Cash Overhead'!B43</f>
        <v>Land Use Expenses</v>
      </c>
      <c r="C33" s="230">
        <f>'Cash Overhead'!C43</f>
        <v>0</v>
      </c>
      <c r="D33" s="231">
        <v>0</v>
      </c>
      <c r="E33" s="232">
        <v>0</v>
      </c>
      <c r="F33" s="231">
        <v>0</v>
      </c>
      <c r="G33" s="232">
        <v>0</v>
      </c>
      <c r="H33" s="231">
        <v>0</v>
      </c>
      <c r="I33" s="232">
        <v>0</v>
      </c>
      <c r="J33" s="231">
        <v>0</v>
      </c>
      <c r="K33" s="232">
        <v>0</v>
      </c>
      <c r="L33" s="231">
        <v>0</v>
      </c>
      <c r="M33" s="232">
        <v>0</v>
      </c>
      <c r="N33" s="231">
        <v>0</v>
      </c>
      <c r="O33" s="232">
        <v>0</v>
      </c>
      <c r="P33" s="231">
        <v>2800</v>
      </c>
      <c r="Q33" s="232">
        <v>2795</v>
      </c>
      <c r="R33" s="231">
        <v>0</v>
      </c>
      <c r="S33" s="232">
        <v>0</v>
      </c>
      <c r="T33" s="231">
        <v>0</v>
      </c>
      <c r="U33" s="232">
        <v>0</v>
      </c>
      <c r="V33" s="231">
        <v>0</v>
      </c>
      <c r="W33" s="232">
        <v>0</v>
      </c>
      <c r="X33" s="231">
        <v>0</v>
      </c>
      <c r="Y33" s="232">
        <v>0</v>
      </c>
      <c r="Z33" s="231">
        <v>0</v>
      </c>
      <c r="AA33" s="232">
        <v>0</v>
      </c>
      <c r="AB33" s="233">
        <f>Z33+X33+V33+T33+R33+P33+N33+L33+J33+H33+F33+D33</f>
        <v>2800</v>
      </c>
      <c r="AC33" s="233">
        <f>AA33+Y33+W33+U33+S33+Q33+O33+M33+K33+I33+G33+E33</f>
        <v>2795</v>
      </c>
      <c r="AD33" s="234">
        <f>AC33-AB33</f>
        <v>-5</v>
      </c>
    </row>
    <row r="34" spans="1:30" x14ac:dyDescent="0.35">
      <c r="A34" s="228"/>
      <c r="B34" s="229" t="str">
        <f>'Cash Overhead'!B51</f>
        <v>Misc. Overhead Ranch Expenses</v>
      </c>
      <c r="C34" s="230">
        <f>'Cash Overhead'!C51</f>
        <v>0</v>
      </c>
      <c r="D34" s="231">
        <v>0</v>
      </c>
      <c r="E34" s="232">
        <v>0</v>
      </c>
      <c r="F34" s="231">
        <v>0</v>
      </c>
      <c r="G34" s="232">
        <v>0</v>
      </c>
      <c r="H34" s="231">
        <v>0</v>
      </c>
      <c r="I34" s="232">
        <v>0</v>
      </c>
      <c r="J34" s="231">
        <v>0</v>
      </c>
      <c r="K34" s="232">
        <v>0</v>
      </c>
      <c r="L34" s="231">
        <v>0</v>
      </c>
      <c r="M34" s="232">
        <v>0</v>
      </c>
      <c r="N34" s="231">
        <v>0</v>
      </c>
      <c r="O34" s="232">
        <v>0</v>
      </c>
      <c r="P34" s="231">
        <v>0</v>
      </c>
      <c r="Q34" s="232">
        <v>0</v>
      </c>
      <c r="R34" s="231">
        <v>0</v>
      </c>
      <c r="S34" s="232">
        <v>0</v>
      </c>
      <c r="T34" s="231">
        <v>0</v>
      </c>
      <c r="U34" s="232">
        <v>0</v>
      </c>
      <c r="V34" s="231">
        <v>0</v>
      </c>
      <c r="W34" s="232">
        <v>0</v>
      </c>
      <c r="X34" s="231">
        <v>0</v>
      </c>
      <c r="Y34" s="232">
        <v>0</v>
      </c>
      <c r="Z34" s="231">
        <v>0</v>
      </c>
      <c r="AA34" s="232">
        <v>0</v>
      </c>
      <c r="AB34" s="233">
        <f t="shared" ref="AB34:AB37" si="9">Z34+X34+V34+T34+R34+P34+N34+L34+J34+H34+F34+D34</f>
        <v>0</v>
      </c>
      <c r="AC34" s="233">
        <f t="shared" ref="AC34:AC37" si="10">AA34+Y34+W34+U34+S34+Q34+O34+M34+K34+I34+G34+E34</f>
        <v>0</v>
      </c>
      <c r="AD34" s="234">
        <f t="shared" ref="AD34:AD37" si="11">AC34-AB34</f>
        <v>0</v>
      </c>
    </row>
    <row r="35" spans="1:30" x14ac:dyDescent="0.35">
      <c r="A35" s="228"/>
      <c r="B35" s="229" t="str">
        <f>'Cash Overhead'!B55</f>
        <v>Dues, Certificates, and Other Fees</v>
      </c>
      <c r="C35" s="230">
        <f>'Cash Overhead'!C55</f>
        <v>450</v>
      </c>
      <c r="D35" s="231">
        <v>0</v>
      </c>
      <c r="E35" s="232">
        <v>0</v>
      </c>
      <c r="F35" s="231">
        <v>0</v>
      </c>
      <c r="G35" s="232">
        <v>0</v>
      </c>
      <c r="H35" s="231">
        <v>0</v>
      </c>
      <c r="I35" s="232">
        <v>0</v>
      </c>
      <c r="J35" s="231">
        <v>0</v>
      </c>
      <c r="K35" s="232">
        <v>0</v>
      </c>
      <c r="L35" s="231">
        <v>0</v>
      </c>
      <c r="M35" s="232">
        <v>0</v>
      </c>
      <c r="N35" s="231">
        <v>250</v>
      </c>
      <c r="O35" s="232">
        <v>250</v>
      </c>
      <c r="P35" s="231">
        <v>0</v>
      </c>
      <c r="Q35" s="232">
        <v>0</v>
      </c>
      <c r="R35" s="231">
        <v>0</v>
      </c>
      <c r="S35" s="232">
        <v>0</v>
      </c>
      <c r="T35" s="231">
        <v>200</v>
      </c>
      <c r="U35" s="232">
        <v>200</v>
      </c>
      <c r="V35" s="231">
        <v>0</v>
      </c>
      <c r="W35" s="232">
        <v>0</v>
      </c>
      <c r="X35" s="231">
        <v>0</v>
      </c>
      <c r="Y35" s="232">
        <v>0</v>
      </c>
      <c r="Z35" s="231">
        <v>0</v>
      </c>
      <c r="AA35" s="232">
        <v>0</v>
      </c>
      <c r="AB35" s="233">
        <f t="shared" si="9"/>
        <v>450</v>
      </c>
      <c r="AC35" s="233">
        <f>AA35+Y35+W35+U35+S35+Q35+O35+M35+K35+I35+G35+E35</f>
        <v>450</v>
      </c>
      <c r="AD35" s="234">
        <f t="shared" si="11"/>
        <v>0</v>
      </c>
    </row>
    <row r="36" spans="1:30" x14ac:dyDescent="0.35">
      <c r="A36" s="228"/>
      <c r="B36" s="229" t="str">
        <f>'Cash Overhead'!B61</f>
        <v>Dog Expenses</v>
      </c>
      <c r="C36" s="230">
        <f>'Cash Overhead'!C61</f>
        <v>2000</v>
      </c>
      <c r="D36" s="231">
        <v>183</v>
      </c>
      <c r="E36" s="232">
        <v>175</v>
      </c>
      <c r="F36" s="231">
        <v>183</v>
      </c>
      <c r="G36" s="232">
        <v>175</v>
      </c>
      <c r="H36" s="231">
        <v>183</v>
      </c>
      <c r="I36" s="232">
        <v>175</v>
      </c>
      <c r="J36" s="231">
        <v>183</v>
      </c>
      <c r="K36" s="232">
        <v>175</v>
      </c>
      <c r="L36" s="231">
        <v>183</v>
      </c>
      <c r="M36" s="232">
        <v>175</v>
      </c>
      <c r="N36" s="231">
        <v>183</v>
      </c>
      <c r="O36" s="232">
        <v>175</v>
      </c>
      <c r="P36" s="231">
        <v>183</v>
      </c>
      <c r="Q36" s="232">
        <v>175</v>
      </c>
      <c r="R36" s="231">
        <v>183</v>
      </c>
      <c r="S36" s="232">
        <v>175</v>
      </c>
      <c r="T36" s="231">
        <v>183</v>
      </c>
      <c r="U36" s="232">
        <v>175</v>
      </c>
      <c r="V36" s="231">
        <v>183</v>
      </c>
      <c r="W36" s="232">
        <v>175</v>
      </c>
      <c r="X36" s="231">
        <v>183</v>
      </c>
      <c r="Y36" s="232">
        <v>175</v>
      </c>
      <c r="Z36" s="231">
        <v>183</v>
      </c>
      <c r="AA36" s="232">
        <v>175</v>
      </c>
      <c r="AB36" s="233">
        <f t="shared" si="9"/>
        <v>2196</v>
      </c>
      <c r="AC36" s="233">
        <f>AA36+Y36+W36+U36+S36+Q36+O36+M36+K36+I36+G36+E36</f>
        <v>2100</v>
      </c>
      <c r="AD36" s="234">
        <f t="shared" si="11"/>
        <v>-96</v>
      </c>
    </row>
    <row r="37" spans="1:30" x14ac:dyDescent="0.35">
      <c r="A37" s="228"/>
      <c r="B37" s="229" t="s">
        <v>239</v>
      </c>
      <c r="C37" s="230">
        <f>Labor!D37</f>
        <v>37699.5</v>
      </c>
      <c r="D37" s="231">
        <v>700</v>
      </c>
      <c r="E37" s="232">
        <v>0</v>
      </c>
      <c r="F37" s="231">
        <v>700</v>
      </c>
      <c r="G37" s="232">
        <v>800</v>
      </c>
      <c r="H37" s="231">
        <v>700</v>
      </c>
      <c r="I37" s="232">
        <v>800</v>
      </c>
      <c r="J37" s="231">
        <v>700</v>
      </c>
      <c r="K37" s="232">
        <v>800</v>
      </c>
      <c r="L37" s="231">
        <v>700</v>
      </c>
      <c r="M37" s="232">
        <v>900</v>
      </c>
      <c r="N37" s="231">
        <v>700</v>
      </c>
      <c r="O37" s="232">
        <v>800</v>
      </c>
      <c r="P37" s="231">
        <v>700</v>
      </c>
      <c r="Q37" s="232">
        <v>900</v>
      </c>
      <c r="R37" s="231">
        <v>700</v>
      </c>
      <c r="S37" s="232">
        <v>900</v>
      </c>
      <c r="T37" s="231">
        <v>700</v>
      </c>
      <c r="U37" s="232">
        <v>0</v>
      </c>
      <c r="V37" s="231">
        <v>8000</v>
      </c>
      <c r="W37" s="232">
        <v>8500</v>
      </c>
      <c r="X37" s="231">
        <v>700</v>
      </c>
      <c r="Y37" s="232">
        <v>0</v>
      </c>
      <c r="Z37" s="231">
        <v>700</v>
      </c>
      <c r="AA37" s="232">
        <v>0</v>
      </c>
      <c r="AB37" s="233">
        <f t="shared" si="9"/>
        <v>15700</v>
      </c>
      <c r="AC37" s="233">
        <f t="shared" si="10"/>
        <v>14400</v>
      </c>
      <c r="AD37" s="234">
        <f t="shared" si="11"/>
        <v>-1300</v>
      </c>
    </row>
    <row r="38" spans="1:30" s="267" customFormat="1" x14ac:dyDescent="0.35">
      <c r="A38" s="262"/>
      <c r="B38" s="263"/>
      <c r="C38" s="264"/>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65"/>
      <c r="AC38" s="265"/>
      <c r="AD38" s="266"/>
    </row>
    <row r="39" spans="1:30" x14ac:dyDescent="0.35">
      <c r="A39" s="228"/>
      <c r="B39" s="242" t="s">
        <v>225</v>
      </c>
      <c r="C39" s="243"/>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54"/>
      <c r="AC39" s="254"/>
      <c r="AD39" s="255"/>
    </row>
    <row r="40" spans="1:30" x14ac:dyDescent="0.35">
      <c r="A40" s="228"/>
      <c r="B40" s="257" t="s">
        <v>226</v>
      </c>
      <c r="C40" s="258"/>
      <c r="D40" s="231">
        <v>0</v>
      </c>
      <c r="E40" s="232">
        <v>0</v>
      </c>
      <c r="F40" s="231">
        <v>0</v>
      </c>
      <c r="G40" s="232">
        <v>0</v>
      </c>
      <c r="H40" s="231">
        <v>0</v>
      </c>
      <c r="I40" s="232">
        <v>0</v>
      </c>
      <c r="J40" s="231">
        <v>0</v>
      </c>
      <c r="K40" s="232">
        <v>0</v>
      </c>
      <c r="L40" s="231">
        <v>0</v>
      </c>
      <c r="M40" s="232">
        <v>0</v>
      </c>
      <c r="N40" s="231">
        <v>0</v>
      </c>
      <c r="O40" s="232">
        <v>0</v>
      </c>
      <c r="P40" s="231">
        <v>0</v>
      </c>
      <c r="Q40" s="232">
        <v>0</v>
      </c>
      <c r="R40" s="231">
        <v>0</v>
      </c>
      <c r="S40" s="232">
        <v>0</v>
      </c>
      <c r="T40" s="231">
        <v>0</v>
      </c>
      <c r="U40" s="232">
        <v>0</v>
      </c>
      <c r="V40" s="231">
        <v>0</v>
      </c>
      <c r="W40" s="232">
        <v>0</v>
      </c>
      <c r="X40" s="231">
        <v>0</v>
      </c>
      <c r="Y40" s="232">
        <v>0</v>
      </c>
      <c r="Z40" s="231">
        <v>0</v>
      </c>
      <c r="AA40" s="232">
        <v>0</v>
      </c>
      <c r="AB40" s="233">
        <f>Z40+X40+V40+T40+R40+P40+N40+L40+J40+H40+F40+D40</f>
        <v>0</v>
      </c>
      <c r="AC40" s="233">
        <f>AA40+Y40+W40+U40+S40+Q40+O40+M40+K40+I40+G40+E40</f>
        <v>0</v>
      </c>
      <c r="AD40" s="234">
        <f>AC40-AB40</f>
        <v>0</v>
      </c>
    </row>
    <row r="41" spans="1:30" ht="15" thickBot="1" x14ac:dyDescent="0.4">
      <c r="A41" s="228"/>
      <c r="B41" s="257" t="s">
        <v>227</v>
      </c>
      <c r="C41" s="258"/>
      <c r="D41" s="231">
        <v>0</v>
      </c>
      <c r="E41" s="232">
        <v>0</v>
      </c>
      <c r="F41" s="231">
        <v>0</v>
      </c>
      <c r="G41" s="232">
        <v>0</v>
      </c>
      <c r="H41" s="231">
        <v>0</v>
      </c>
      <c r="I41" s="232">
        <v>0</v>
      </c>
      <c r="J41" s="231">
        <v>0</v>
      </c>
      <c r="K41" s="232">
        <v>0</v>
      </c>
      <c r="L41" s="231">
        <v>0</v>
      </c>
      <c r="M41" s="232">
        <v>0</v>
      </c>
      <c r="N41" s="231">
        <v>0</v>
      </c>
      <c r="O41" s="232">
        <v>0</v>
      </c>
      <c r="P41" s="231">
        <v>0</v>
      </c>
      <c r="Q41" s="232">
        <v>0</v>
      </c>
      <c r="R41" s="231">
        <v>0</v>
      </c>
      <c r="S41" s="232">
        <v>0</v>
      </c>
      <c r="T41" s="231">
        <v>0</v>
      </c>
      <c r="U41" s="232">
        <v>0</v>
      </c>
      <c r="V41" s="231">
        <v>0</v>
      </c>
      <c r="W41" s="232">
        <v>0</v>
      </c>
      <c r="X41" s="231">
        <v>0</v>
      </c>
      <c r="Y41" s="232">
        <v>0</v>
      </c>
      <c r="Z41" s="231">
        <v>0</v>
      </c>
      <c r="AA41" s="232">
        <v>0</v>
      </c>
      <c r="AB41" s="233">
        <f>Z41+X41+V41+T41+R41+P41+N41+L41+J41+H41+F41+D41</f>
        <v>0</v>
      </c>
      <c r="AC41" s="233">
        <f>AA41+Y41+W41+U41+S41+Q41+O41+M41+K41+I41+G41+E41</f>
        <v>0</v>
      </c>
      <c r="AD41" s="234">
        <f>AC41-AB41</f>
        <v>0</v>
      </c>
    </row>
    <row r="42" spans="1:30" s="133" customFormat="1" ht="15" thickBot="1" x14ac:dyDescent="0.4">
      <c r="A42" s="235" t="s">
        <v>228</v>
      </c>
      <c r="B42" s="256"/>
      <c r="C42" s="224">
        <f>SUM(C28:C41)</f>
        <v>49299.5</v>
      </c>
      <c r="D42" s="225">
        <f>SUM(D28:D41)</f>
        <v>933</v>
      </c>
      <c r="E42" s="236">
        <f t="shared" ref="E42:AD42" si="12">SUM(E28:E41)</f>
        <v>175</v>
      </c>
      <c r="F42" s="224">
        <f>SUM(F28:F41)</f>
        <v>933</v>
      </c>
      <c r="G42" s="224">
        <f t="shared" si="12"/>
        <v>975</v>
      </c>
      <c r="H42" s="237">
        <f t="shared" si="12"/>
        <v>1433</v>
      </c>
      <c r="I42" s="225">
        <f t="shared" si="12"/>
        <v>1470</v>
      </c>
      <c r="J42" s="224">
        <f t="shared" si="12"/>
        <v>1133</v>
      </c>
      <c r="K42" s="238">
        <f t="shared" si="12"/>
        <v>1175</v>
      </c>
      <c r="L42" s="225">
        <f t="shared" si="12"/>
        <v>933</v>
      </c>
      <c r="M42" s="225">
        <f t="shared" si="12"/>
        <v>1200</v>
      </c>
      <c r="N42" s="239">
        <f t="shared" si="12"/>
        <v>1433</v>
      </c>
      <c r="O42" s="238">
        <f t="shared" si="12"/>
        <v>1775</v>
      </c>
      <c r="P42" s="236">
        <f t="shared" si="12"/>
        <v>3733</v>
      </c>
      <c r="Q42" s="236">
        <f t="shared" si="12"/>
        <v>3995</v>
      </c>
      <c r="R42" s="238">
        <f t="shared" si="12"/>
        <v>933</v>
      </c>
      <c r="S42" s="238">
        <f t="shared" si="12"/>
        <v>1075</v>
      </c>
      <c r="T42" s="236">
        <f t="shared" si="12"/>
        <v>1133</v>
      </c>
      <c r="U42" s="236">
        <f t="shared" si="12"/>
        <v>375</v>
      </c>
      <c r="V42" s="238">
        <f t="shared" si="12"/>
        <v>8233</v>
      </c>
      <c r="W42" s="238">
        <f t="shared" si="12"/>
        <v>8675</v>
      </c>
      <c r="X42" s="236">
        <f t="shared" si="12"/>
        <v>933</v>
      </c>
      <c r="Y42" s="236">
        <f t="shared" si="12"/>
        <v>175</v>
      </c>
      <c r="Z42" s="238">
        <f t="shared" si="12"/>
        <v>933</v>
      </c>
      <c r="AA42" s="238">
        <f t="shared" si="12"/>
        <v>175</v>
      </c>
      <c r="AB42" s="236">
        <f t="shared" si="12"/>
        <v>22696</v>
      </c>
      <c r="AC42" s="236">
        <f t="shared" si="12"/>
        <v>21240</v>
      </c>
      <c r="AD42" s="225">
        <f t="shared" si="12"/>
        <v>-1456</v>
      </c>
    </row>
    <row r="43" spans="1:30" x14ac:dyDescent="0.35">
      <c r="A43" s="228"/>
      <c r="B43" s="242"/>
      <c r="C43" s="243"/>
      <c r="D43" s="244"/>
      <c r="E43" s="245"/>
      <c r="F43" s="246"/>
      <c r="G43" s="246"/>
      <c r="H43" s="245"/>
      <c r="I43" s="244"/>
      <c r="J43" s="246"/>
      <c r="K43" s="247"/>
      <c r="L43" s="244"/>
      <c r="M43" s="244"/>
      <c r="N43" s="248"/>
      <c r="O43" s="249"/>
      <c r="P43" s="250"/>
      <c r="Q43" s="250"/>
      <c r="R43" s="251"/>
      <c r="S43" s="145"/>
      <c r="T43" s="252"/>
      <c r="U43" s="253"/>
      <c r="V43" s="145"/>
      <c r="W43" s="43"/>
      <c r="X43" s="252"/>
      <c r="Y43" s="253"/>
      <c r="Z43" s="145"/>
      <c r="AA43" s="145"/>
      <c r="AB43" s="254"/>
      <c r="AC43" s="254"/>
      <c r="AD43" s="255"/>
    </row>
    <row r="44" spans="1:30" x14ac:dyDescent="0.35">
      <c r="A44" s="228" t="s">
        <v>229</v>
      </c>
      <c r="B44" s="242"/>
      <c r="C44" s="230">
        <v>2850</v>
      </c>
      <c r="D44" s="231">
        <v>0</v>
      </c>
      <c r="E44" s="232">
        <v>0</v>
      </c>
      <c r="F44" s="231">
        <v>0</v>
      </c>
      <c r="G44" s="232">
        <v>0</v>
      </c>
      <c r="H44" s="231">
        <v>0</v>
      </c>
      <c r="I44" s="232">
        <v>0</v>
      </c>
      <c r="J44" s="231">
        <v>0</v>
      </c>
      <c r="K44" s="232">
        <v>0</v>
      </c>
      <c r="L44" s="231">
        <v>0</v>
      </c>
      <c r="M44" s="232">
        <v>0</v>
      </c>
      <c r="N44" s="231">
        <v>0</v>
      </c>
      <c r="O44" s="232">
        <v>0</v>
      </c>
      <c r="P44" s="231">
        <v>0</v>
      </c>
      <c r="Q44" s="232">
        <v>0</v>
      </c>
      <c r="R44" s="231">
        <v>2850</v>
      </c>
      <c r="S44" s="232">
        <v>2850</v>
      </c>
      <c r="T44" s="231">
        <v>0</v>
      </c>
      <c r="U44" s="232">
        <v>0</v>
      </c>
      <c r="V44" s="231">
        <v>0</v>
      </c>
      <c r="W44" s="232">
        <v>0</v>
      </c>
      <c r="X44" s="231">
        <v>0</v>
      </c>
      <c r="Y44" s="232">
        <v>0</v>
      </c>
      <c r="Z44" s="231">
        <v>0</v>
      </c>
      <c r="AA44" s="232">
        <v>0</v>
      </c>
      <c r="AB44" s="233">
        <f>Z44+X44+V44+T44+R44+P44+N44+L44+J44+H44+F44+D44</f>
        <v>2850</v>
      </c>
      <c r="AC44" s="233">
        <f>AA44+Y44+W44+U44+S44+Q44+O44+M44+K44+I44+G44+E44</f>
        <v>2850</v>
      </c>
      <c r="AD44" s="234">
        <f>AC44-AB44</f>
        <v>0</v>
      </c>
    </row>
    <row r="45" spans="1:30" ht="15" thickBot="1" x14ac:dyDescent="0.4">
      <c r="A45" s="228"/>
      <c r="B45" s="242"/>
      <c r="C45" s="243"/>
      <c r="D45" s="244"/>
      <c r="E45" s="245"/>
      <c r="F45" s="246"/>
      <c r="G45" s="246"/>
      <c r="H45" s="245"/>
      <c r="I45" s="244"/>
      <c r="J45" s="246"/>
      <c r="K45" s="247"/>
      <c r="L45" s="244"/>
      <c r="M45" s="244"/>
      <c r="N45" s="248"/>
      <c r="O45" s="249"/>
      <c r="P45" s="250"/>
      <c r="Q45" s="250"/>
      <c r="R45" s="251"/>
      <c r="S45" s="145"/>
      <c r="T45" s="252"/>
      <c r="U45" s="253"/>
      <c r="V45" s="145"/>
      <c r="W45" s="43"/>
      <c r="X45" s="252"/>
      <c r="Y45" s="253"/>
      <c r="Z45" s="145"/>
      <c r="AA45" s="145"/>
      <c r="AB45" s="254"/>
      <c r="AC45" s="254"/>
      <c r="AD45" s="255"/>
    </row>
    <row r="46" spans="1:30" s="133" customFormat="1" ht="15" thickBot="1" x14ac:dyDescent="0.4">
      <c r="A46" s="235" t="s">
        <v>230</v>
      </c>
      <c r="B46" s="256"/>
      <c r="C46" s="224">
        <f>C25+C42+C44</f>
        <v>60438</v>
      </c>
      <c r="D46" s="225">
        <f>D25+D42+D44</f>
        <v>1216</v>
      </c>
      <c r="E46" s="236">
        <f t="shared" ref="E46:Q46" si="13">E25+E42+E44</f>
        <v>625</v>
      </c>
      <c r="F46" s="224">
        <f t="shared" si="13"/>
        <v>1216</v>
      </c>
      <c r="G46" s="224">
        <f t="shared" si="13"/>
        <v>1025</v>
      </c>
      <c r="H46" s="237">
        <f t="shared" si="13"/>
        <v>1716</v>
      </c>
      <c r="I46" s="225">
        <f t="shared" si="13"/>
        <v>1595</v>
      </c>
      <c r="J46" s="224">
        <f t="shared" si="13"/>
        <v>1416</v>
      </c>
      <c r="K46" s="238">
        <f t="shared" si="13"/>
        <v>1650</v>
      </c>
      <c r="L46" s="225">
        <f t="shared" si="13"/>
        <v>2084</v>
      </c>
      <c r="M46" s="225">
        <f t="shared" si="13"/>
        <v>2625</v>
      </c>
      <c r="N46" s="239">
        <f t="shared" si="13"/>
        <v>2701</v>
      </c>
      <c r="O46" s="238">
        <f t="shared" si="13"/>
        <v>2905</v>
      </c>
      <c r="P46" s="236">
        <f t="shared" si="13"/>
        <v>4416</v>
      </c>
      <c r="Q46" s="236">
        <f t="shared" si="13"/>
        <v>4150</v>
      </c>
      <c r="R46" s="238">
        <f>R25+R42+R44</f>
        <v>4270</v>
      </c>
      <c r="S46" s="238">
        <f t="shared" ref="S46:AD46" si="14">S25+S42+S44</f>
        <v>4175</v>
      </c>
      <c r="T46" s="236">
        <f t="shared" si="14"/>
        <v>1416</v>
      </c>
      <c r="U46" s="236">
        <f t="shared" si="14"/>
        <v>500</v>
      </c>
      <c r="V46" s="238">
        <f t="shared" si="14"/>
        <v>8516</v>
      </c>
      <c r="W46" s="238">
        <f t="shared" si="14"/>
        <v>8805</v>
      </c>
      <c r="X46" s="236">
        <f t="shared" si="14"/>
        <v>1216</v>
      </c>
      <c r="Y46" s="236">
        <f t="shared" si="14"/>
        <v>175</v>
      </c>
      <c r="Z46" s="238">
        <f t="shared" si="14"/>
        <v>1392</v>
      </c>
      <c r="AA46" s="238">
        <f t="shared" si="14"/>
        <v>365</v>
      </c>
      <c r="AB46" s="236">
        <f t="shared" si="14"/>
        <v>31575</v>
      </c>
      <c r="AC46" s="236">
        <f t="shared" si="14"/>
        <v>28595</v>
      </c>
      <c r="AD46" s="225">
        <f t="shared" si="14"/>
        <v>-2980</v>
      </c>
    </row>
    <row r="47" spans="1:30" ht="15" thickBot="1" x14ac:dyDescent="0.4">
      <c r="A47" s="228"/>
      <c r="B47" s="242"/>
      <c r="C47" s="243"/>
      <c r="D47" s="244"/>
      <c r="E47" s="245"/>
      <c r="F47" s="246"/>
      <c r="G47" s="246"/>
      <c r="H47" s="245"/>
      <c r="I47" s="244"/>
      <c r="J47" s="246"/>
      <c r="K47" s="247"/>
      <c r="L47" s="244"/>
      <c r="M47" s="244"/>
      <c r="N47" s="248"/>
      <c r="O47" s="249"/>
      <c r="P47" s="250"/>
      <c r="Q47" s="250"/>
      <c r="R47" s="251"/>
      <c r="S47" s="145"/>
      <c r="T47" s="252"/>
      <c r="U47" s="253"/>
      <c r="V47" s="145"/>
      <c r="W47" s="43"/>
      <c r="X47" s="252"/>
      <c r="Y47" s="253"/>
      <c r="Z47" s="145"/>
      <c r="AA47" s="145"/>
      <c r="AB47" s="254"/>
      <c r="AC47" s="254"/>
      <c r="AD47" s="255"/>
    </row>
    <row r="48" spans="1:30" s="133" customFormat="1" ht="15" thickBot="1" x14ac:dyDescent="0.4">
      <c r="A48" s="235" t="s">
        <v>231</v>
      </c>
      <c r="B48" s="256"/>
      <c r="C48" s="224">
        <f>C5+C14-C46</f>
        <v>-28384</v>
      </c>
      <c r="D48" s="225">
        <f>D5+D14-D46</f>
        <v>284</v>
      </c>
      <c r="E48" s="236">
        <f t="shared" ref="E48:AD48" si="15">E5+E14-E46</f>
        <v>875</v>
      </c>
      <c r="F48" s="224">
        <f t="shared" si="15"/>
        <v>-932</v>
      </c>
      <c r="G48" s="224">
        <f t="shared" si="15"/>
        <v>-150</v>
      </c>
      <c r="H48" s="237">
        <f t="shared" si="15"/>
        <v>3352</v>
      </c>
      <c r="I48" s="225">
        <f t="shared" si="15"/>
        <v>4255</v>
      </c>
      <c r="J48" s="224">
        <f t="shared" si="15"/>
        <v>1936</v>
      </c>
      <c r="K48" s="238">
        <f t="shared" si="15"/>
        <v>2605</v>
      </c>
      <c r="L48" s="225">
        <f t="shared" si="15"/>
        <v>-148</v>
      </c>
      <c r="M48" s="225">
        <f t="shared" si="15"/>
        <v>-20</v>
      </c>
      <c r="N48" s="239">
        <f t="shared" si="15"/>
        <v>7151</v>
      </c>
      <c r="O48" s="238">
        <f t="shared" si="15"/>
        <v>7275</v>
      </c>
      <c r="P48" s="236">
        <f t="shared" si="15"/>
        <v>19231</v>
      </c>
      <c r="Q48" s="236">
        <f t="shared" si="15"/>
        <v>19125</v>
      </c>
      <c r="R48" s="236">
        <f>R5+R14-R46</f>
        <v>12959</v>
      </c>
      <c r="S48" s="236">
        <f>S5+S14-S46</f>
        <v>14390</v>
      </c>
      <c r="T48" s="236">
        <f t="shared" si="15"/>
        <v>11543</v>
      </c>
      <c r="U48" s="236">
        <f t="shared" si="15"/>
        <v>14140</v>
      </c>
      <c r="V48" s="236">
        <f t="shared" si="15"/>
        <v>3027</v>
      </c>
      <c r="W48" s="236">
        <f t="shared" si="15"/>
        <v>5335</v>
      </c>
      <c r="X48" s="236">
        <f t="shared" si="15"/>
        <v>1811</v>
      </c>
      <c r="Y48" s="236">
        <f t="shared" si="15"/>
        <v>5160</v>
      </c>
      <c r="Z48" s="236">
        <f t="shared" si="15"/>
        <v>419</v>
      </c>
      <c r="AA48" s="236">
        <f t="shared" si="15"/>
        <v>5145</v>
      </c>
      <c r="AB48" s="236">
        <f t="shared" si="15"/>
        <v>479</v>
      </c>
      <c r="AC48" s="236">
        <f t="shared" si="15"/>
        <v>5205</v>
      </c>
      <c r="AD48" s="225">
        <f t="shared" si="15"/>
        <v>4726</v>
      </c>
    </row>
    <row r="49" spans="1:30" x14ac:dyDescent="0.35">
      <c r="A49" s="228"/>
      <c r="B49" s="242"/>
      <c r="C49" s="243"/>
      <c r="D49" s="244"/>
      <c r="E49" s="245"/>
      <c r="F49" s="246"/>
      <c r="G49" s="246"/>
      <c r="H49" s="245"/>
      <c r="I49" s="244"/>
      <c r="J49" s="246"/>
      <c r="K49" s="247"/>
      <c r="L49" s="244"/>
      <c r="M49" s="244"/>
      <c r="N49" s="248"/>
      <c r="O49" s="249"/>
      <c r="P49" s="250"/>
      <c r="Q49" s="250"/>
      <c r="R49" s="251"/>
      <c r="S49" s="145"/>
      <c r="T49" s="252"/>
      <c r="U49" s="253"/>
      <c r="V49" s="145"/>
      <c r="W49" s="43"/>
      <c r="X49" s="252"/>
      <c r="Y49" s="253"/>
      <c r="Z49" s="145"/>
      <c r="AA49" s="145"/>
      <c r="AB49" s="254"/>
      <c r="AC49" s="254"/>
      <c r="AD49" s="255"/>
    </row>
    <row r="50" spans="1:30" x14ac:dyDescent="0.35">
      <c r="A50" s="228" t="s">
        <v>232</v>
      </c>
      <c r="B50" s="242"/>
      <c r="C50" s="243"/>
      <c r="D50" s="244"/>
      <c r="E50" s="245"/>
      <c r="F50" s="246"/>
      <c r="G50" s="246"/>
      <c r="H50" s="245"/>
      <c r="I50" s="244"/>
      <c r="J50" s="246"/>
      <c r="K50" s="247"/>
      <c r="L50" s="244"/>
      <c r="M50" s="244"/>
      <c r="N50" s="248"/>
      <c r="O50" s="249"/>
      <c r="P50" s="250"/>
      <c r="Q50" s="250"/>
      <c r="R50" s="251"/>
      <c r="S50" s="145"/>
      <c r="T50" s="252"/>
      <c r="U50" s="253"/>
      <c r="V50" s="145"/>
      <c r="W50" s="43"/>
      <c r="X50" s="252"/>
      <c r="Y50" s="253"/>
      <c r="Z50" s="145"/>
      <c r="AA50" s="145"/>
      <c r="AB50" s="254"/>
      <c r="AC50" s="254"/>
      <c r="AD50" s="255"/>
    </row>
    <row r="51" spans="1:30" x14ac:dyDescent="0.35">
      <c r="A51" s="228"/>
      <c r="B51" s="242" t="s">
        <v>233</v>
      </c>
      <c r="C51" s="230">
        <v>5000</v>
      </c>
      <c r="D51" s="231">
        <v>0</v>
      </c>
      <c r="E51" s="232">
        <v>0</v>
      </c>
      <c r="F51" s="231">
        <v>6000</v>
      </c>
      <c r="G51" s="232">
        <v>6000</v>
      </c>
      <c r="H51" s="231">
        <v>0</v>
      </c>
      <c r="I51" s="232">
        <v>0</v>
      </c>
      <c r="J51" s="231">
        <v>0</v>
      </c>
      <c r="K51" s="232">
        <v>0</v>
      </c>
      <c r="L51" s="231">
        <v>0</v>
      </c>
      <c r="M51" s="232">
        <v>0</v>
      </c>
      <c r="N51" s="231">
        <v>0</v>
      </c>
      <c r="O51" s="232">
        <v>0</v>
      </c>
      <c r="P51" s="231">
        <v>0</v>
      </c>
      <c r="Q51" s="232">
        <v>0</v>
      </c>
      <c r="R51" s="231">
        <v>0</v>
      </c>
      <c r="S51" s="232">
        <v>0</v>
      </c>
      <c r="T51" s="231">
        <v>0</v>
      </c>
      <c r="U51" s="232">
        <v>0</v>
      </c>
      <c r="V51" s="231">
        <v>0</v>
      </c>
      <c r="W51" s="232">
        <v>0</v>
      </c>
      <c r="X51" s="231">
        <v>0</v>
      </c>
      <c r="Y51" s="232">
        <v>0</v>
      </c>
      <c r="Z51" s="231">
        <v>0</v>
      </c>
      <c r="AA51" s="232">
        <v>0</v>
      </c>
      <c r="AB51" s="233">
        <f>Z51+X51+V51+T51+R51+P51+N51+L51+J51+H51+F51+D51</f>
        <v>6000</v>
      </c>
      <c r="AC51" s="233">
        <f>AA51+Y51+W51+U51+S51+Q51+O51+M51+K51+I51+G51+E51</f>
        <v>6000</v>
      </c>
      <c r="AD51" s="234">
        <f>AC51-AB51</f>
        <v>0</v>
      </c>
    </row>
    <row r="52" spans="1:30" x14ac:dyDescent="0.35">
      <c r="A52" s="228"/>
      <c r="B52" s="242" t="s">
        <v>225</v>
      </c>
      <c r="C52" s="230">
        <v>0</v>
      </c>
      <c r="D52" s="231">
        <v>0</v>
      </c>
      <c r="E52" s="232">
        <v>0</v>
      </c>
      <c r="F52" s="231">
        <v>0</v>
      </c>
      <c r="G52" s="232">
        <v>0</v>
      </c>
      <c r="H52" s="231">
        <v>0</v>
      </c>
      <c r="I52" s="232">
        <v>0</v>
      </c>
      <c r="J52" s="231">
        <v>0</v>
      </c>
      <c r="K52" s="232">
        <v>0</v>
      </c>
      <c r="L52" s="231">
        <v>0</v>
      </c>
      <c r="M52" s="232">
        <v>0</v>
      </c>
      <c r="N52" s="231">
        <v>0</v>
      </c>
      <c r="O52" s="232">
        <v>0</v>
      </c>
      <c r="P52" s="231">
        <v>0</v>
      </c>
      <c r="Q52" s="232">
        <v>0</v>
      </c>
      <c r="R52" s="231">
        <v>0</v>
      </c>
      <c r="S52" s="232">
        <v>0</v>
      </c>
      <c r="T52" s="231">
        <v>0</v>
      </c>
      <c r="U52" s="232">
        <v>0</v>
      </c>
      <c r="V52" s="231">
        <v>0</v>
      </c>
      <c r="W52" s="232">
        <v>0</v>
      </c>
      <c r="X52" s="231">
        <v>0</v>
      </c>
      <c r="Y52" s="232">
        <v>0</v>
      </c>
      <c r="Z52" s="231">
        <v>0</v>
      </c>
      <c r="AA52" s="232">
        <v>0</v>
      </c>
      <c r="AB52" s="233">
        <f>Z52+X52+V52+T52+R52+P52+N52+L52+J52+H52+F52+D52</f>
        <v>0</v>
      </c>
      <c r="AC52" s="233">
        <f>AA52+Y52+W52+U52+S52+Q52+O52+M52+K52+I52+G52+E52</f>
        <v>0</v>
      </c>
      <c r="AD52" s="234">
        <f>AC52-AB52</f>
        <v>0</v>
      </c>
    </row>
    <row r="53" spans="1:30" x14ac:dyDescent="0.35">
      <c r="A53" s="228"/>
      <c r="B53" s="242"/>
      <c r="C53" s="243"/>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54"/>
      <c r="AC53" s="254"/>
      <c r="AD53" s="255"/>
    </row>
    <row r="54" spans="1:30" x14ac:dyDescent="0.35">
      <c r="A54" s="228" t="s">
        <v>234</v>
      </c>
      <c r="B54" s="242"/>
      <c r="C54" s="243"/>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54"/>
      <c r="AC54" s="254"/>
      <c r="AD54" s="255"/>
    </row>
    <row r="55" spans="1:30" x14ac:dyDescent="0.35">
      <c r="A55" s="228"/>
      <c r="B55" s="242" t="s">
        <v>226</v>
      </c>
      <c r="C55" s="230"/>
      <c r="D55" s="231">
        <v>0</v>
      </c>
      <c r="E55" s="232">
        <v>0</v>
      </c>
      <c r="F55" s="231">
        <v>0</v>
      </c>
      <c r="G55" s="232">
        <v>0</v>
      </c>
      <c r="H55" s="231">
        <v>0</v>
      </c>
      <c r="I55" s="232">
        <v>0</v>
      </c>
      <c r="J55" s="231">
        <v>0</v>
      </c>
      <c r="K55" s="232">
        <v>0</v>
      </c>
      <c r="L55" s="231">
        <v>0</v>
      </c>
      <c r="M55" s="232">
        <v>0</v>
      </c>
      <c r="N55" s="231">
        <v>0</v>
      </c>
      <c r="O55" s="232">
        <v>0</v>
      </c>
      <c r="P55" s="231">
        <v>6000</v>
      </c>
      <c r="Q55" s="232">
        <v>6000</v>
      </c>
      <c r="R55" s="231">
        <v>0</v>
      </c>
      <c r="S55" s="232">
        <v>0</v>
      </c>
      <c r="T55" s="231">
        <v>0</v>
      </c>
      <c r="U55" s="232">
        <v>0</v>
      </c>
      <c r="V55" s="231">
        <v>0</v>
      </c>
      <c r="W55" s="232">
        <v>0</v>
      </c>
      <c r="X55" s="231">
        <v>0</v>
      </c>
      <c r="Y55" s="232">
        <v>0</v>
      </c>
      <c r="Z55" s="231">
        <v>0</v>
      </c>
      <c r="AA55" s="232">
        <v>0</v>
      </c>
      <c r="AB55" s="233">
        <f>Z55+X55+V55+T55+R55+P55+N55+L55+J55+H55+F55+D55</f>
        <v>6000</v>
      </c>
      <c r="AC55" s="233">
        <f>AA55+Y55+W55+U55+S55+Q55+O55+M55+K55+I55+G55+E55</f>
        <v>6000</v>
      </c>
      <c r="AD55" s="234">
        <f>AC55-AB55</f>
        <v>0</v>
      </c>
    </row>
    <row r="56" spans="1:30" x14ac:dyDescent="0.35">
      <c r="A56" s="228"/>
      <c r="B56" s="242" t="s">
        <v>227</v>
      </c>
      <c r="C56" s="230"/>
      <c r="D56" s="231">
        <v>0</v>
      </c>
      <c r="E56" s="232">
        <v>0</v>
      </c>
      <c r="F56" s="231">
        <v>0</v>
      </c>
      <c r="G56" s="232">
        <v>0</v>
      </c>
      <c r="H56" s="231">
        <v>0</v>
      </c>
      <c r="I56" s="232">
        <v>0</v>
      </c>
      <c r="J56" s="231">
        <v>0</v>
      </c>
      <c r="K56" s="232">
        <v>0</v>
      </c>
      <c r="L56" s="231">
        <v>0</v>
      </c>
      <c r="M56" s="232">
        <v>0</v>
      </c>
      <c r="N56" s="231">
        <v>0</v>
      </c>
      <c r="O56" s="232">
        <v>0</v>
      </c>
      <c r="P56" s="231">
        <v>60</v>
      </c>
      <c r="Q56" s="232">
        <v>60</v>
      </c>
      <c r="R56" s="231">
        <v>0</v>
      </c>
      <c r="S56" s="232">
        <v>0</v>
      </c>
      <c r="T56" s="231">
        <v>0</v>
      </c>
      <c r="U56" s="232">
        <v>0</v>
      </c>
      <c r="V56" s="231">
        <v>0</v>
      </c>
      <c r="W56" s="232">
        <v>0</v>
      </c>
      <c r="X56" s="231">
        <v>0</v>
      </c>
      <c r="Y56" s="232">
        <v>0</v>
      </c>
      <c r="Z56" s="231">
        <v>0</v>
      </c>
      <c r="AA56" s="232">
        <v>0</v>
      </c>
      <c r="AB56" s="233">
        <f>Z56+X56+V56+T56+R56+P56+N56+L56+J56+H56+F56+D56</f>
        <v>60</v>
      </c>
      <c r="AC56" s="233">
        <f>AA56+Y56+W56+U56+S56+Q56+O56+M56+K56+I56+G56+E56</f>
        <v>60</v>
      </c>
      <c r="AD56" s="234">
        <f>AC56-AB56</f>
        <v>0</v>
      </c>
    </row>
    <row r="57" spans="1:30" ht="15" thickBot="1" x14ac:dyDescent="0.4">
      <c r="A57" s="228"/>
      <c r="B57" s="242"/>
      <c r="C57" s="243"/>
      <c r="D57" s="244"/>
      <c r="E57" s="245"/>
      <c r="F57" s="246"/>
      <c r="G57" s="246"/>
      <c r="H57" s="245"/>
      <c r="I57" s="244"/>
      <c r="J57" s="246"/>
      <c r="K57" s="247"/>
      <c r="L57" s="244"/>
      <c r="M57" s="244"/>
      <c r="N57" s="248"/>
      <c r="O57" s="249"/>
      <c r="P57" s="250"/>
      <c r="Q57" s="250"/>
      <c r="R57" s="251"/>
      <c r="S57" s="145"/>
      <c r="T57" s="252"/>
      <c r="U57" s="253"/>
      <c r="V57" s="145"/>
      <c r="W57" s="43"/>
      <c r="X57" s="252"/>
      <c r="Y57" s="253"/>
      <c r="Z57" s="145"/>
      <c r="AA57" s="145"/>
      <c r="AB57" s="254"/>
      <c r="AC57" s="254"/>
      <c r="AD57" s="255"/>
    </row>
    <row r="58" spans="1:30" s="133" customFormat="1" ht="15" thickBot="1" x14ac:dyDescent="0.4">
      <c r="A58" s="235" t="s">
        <v>235</v>
      </c>
      <c r="B58" s="220"/>
      <c r="C58" s="224">
        <f>C48+C51+C52-C55-C56</f>
        <v>-23384</v>
      </c>
      <c r="D58" s="225">
        <f>D48+D51+D52-D55-D56</f>
        <v>284</v>
      </c>
      <c r="E58" s="236">
        <f t="shared" ref="E58:L58" si="16">E48+E51+E52-E55-E56</f>
        <v>875</v>
      </c>
      <c r="F58" s="224">
        <f t="shared" si="16"/>
        <v>5068</v>
      </c>
      <c r="G58" s="224">
        <f t="shared" si="16"/>
        <v>5850</v>
      </c>
      <c r="H58" s="237">
        <f t="shared" si="16"/>
        <v>3352</v>
      </c>
      <c r="I58" s="225">
        <f t="shared" si="16"/>
        <v>4255</v>
      </c>
      <c r="J58" s="224">
        <f t="shared" si="16"/>
        <v>1936</v>
      </c>
      <c r="K58" s="238">
        <f t="shared" si="16"/>
        <v>2605</v>
      </c>
      <c r="L58" s="225">
        <f t="shared" si="16"/>
        <v>-148</v>
      </c>
      <c r="M58" s="225">
        <f>M48+M51+M52-M55-M56</f>
        <v>-20</v>
      </c>
      <c r="N58" s="239">
        <f>N48+N51+N52-N55-N56</f>
        <v>7151</v>
      </c>
      <c r="O58" s="238">
        <f t="shared" ref="O58:AD58" si="17">O48+O51+O52-O55-O56</f>
        <v>7275</v>
      </c>
      <c r="P58" s="236">
        <f t="shared" si="17"/>
        <v>13171</v>
      </c>
      <c r="Q58" s="236">
        <f t="shared" si="17"/>
        <v>13065</v>
      </c>
      <c r="R58" s="238">
        <f t="shared" si="17"/>
        <v>12959</v>
      </c>
      <c r="S58" s="238">
        <f t="shared" si="17"/>
        <v>14390</v>
      </c>
      <c r="T58" s="236">
        <f t="shared" si="17"/>
        <v>11543</v>
      </c>
      <c r="U58" s="236">
        <f t="shared" si="17"/>
        <v>14140</v>
      </c>
      <c r="V58" s="238">
        <f t="shared" si="17"/>
        <v>3027</v>
      </c>
      <c r="W58" s="238">
        <f t="shared" si="17"/>
        <v>5335</v>
      </c>
      <c r="X58" s="236">
        <f t="shared" si="17"/>
        <v>1811</v>
      </c>
      <c r="Y58" s="236">
        <f t="shared" si="17"/>
        <v>5160</v>
      </c>
      <c r="Z58" s="238">
        <f t="shared" si="17"/>
        <v>419</v>
      </c>
      <c r="AA58" s="238">
        <f t="shared" si="17"/>
        <v>5145</v>
      </c>
      <c r="AB58" s="236">
        <f>Z58</f>
        <v>419</v>
      </c>
      <c r="AC58" s="236">
        <f>AA58</f>
        <v>5145</v>
      </c>
      <c r="AD58" s="225">
        <f t="shared" si="17"/>
        <v>4726</v>
      </c>
    </row>
  </sheetData>
  <mergeCells count="3">
    <mergeCell ref="A1:R1"/>
    <mergeCell ref="A2:R2"/>
    <mergeCell ref="A3:R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opLeftCell="B1" zoomScale="150" zoomScaleNormal="150" workbookViewId="0">
      <selection activeCell="C7" sqref="C7"/>
    </sheetView>
  </sheetViews>
  <sheetFormatPr defaultRowHeight="14.5" x14ac:dyDescent="0.35"/>
  <cols>
    <col min="1" max="10" width="13.7265625" style="131" customWidth="1"/>
  </cols>
  <sheetData>
    <row r="1" spans="1:10" s="133" customFormat="1" ht="29" x14ac:dyDescent="0.35">
      <c r="A1" s="132" t="s">
        <v>136</v>
      </c>
      <c r="B1" s="132" t="s">
        <v>137</v>
      </c>
      <c r="C1" s="132" t="s">
        <v>138</v>
      </c>
      <c r="D1" s="132" t="s">
        <v>139</v>
      </c>
      <c r="E1" s="132" t="s">
        <v>140</v>
      </c>
      <c r="F1" s="132" t="s">
        <v>141</v>
      </c>
      <c r="G1" s="132" t="s">
        <v>142</v>
      </c>
      <c r="H1" s="132" t="s">
        <v>143</v>
      </c>
      <c r="I1" s="132" t="s">
        <v>144</v>
      </c>
      <c r="J1" s="132" t="s">
        <v>145</v>
      </c>
    </row>
    <row r="2" spans="1:10" x14ac:dyDescent="0.35">
      <c r="A2" s="131" t="s">
        <v>146</v>
      </c>
      <c r="B2" s="131" t="s">
        <v>147</v>
      </c>
      <c r="C2" s="131">
        <v>100</v>
      </c>
      <c r="D2" s="131">
        <v>0</v>
      </c>
      <c r="E2" s="131">
        <v>0</v>
      </c>
      <c r="F2" s="131">
        <v>10</v>
      </c>
      <c r="G2" s="131">
        <v>5</v>
      </c>
      <c r="H2" s="131">
        <v>0</v>
      </c>
      <c r="I2" s="131">
        <v>15</v>
      </c>
      <c r="J2" s="131">
        <f>C2+D2+E2-F2-G2-H2+I2</f>
        <v>100</v>
      </c>
    </row>
    <row r="3" spans="1:10" x14ac:dyDescent="0.35">
      <c r="A3" s="131" t="s">
        <v>146</v>
      </c>
      <c r="B3" s="131" t="s">
        <v>148</v>
      </c>
      <c r="C3" s="131">
        <v>15</v>
      </c>
      <c r="D3" s="131">
        <v>0</v>
      </c>
      <c r="E3" s="131">
        <v>0</v>
      </c>
      <c r="F3" s="131">
        <v>0</v>
      </c>
      <c r="G3" s="131">
        <v>5</v>
      </c>
      <c r="H3" s="131">
        <v>40</v>
      </c>
      <c r="I3" s="131">
        <v>45</v>
      </c>
      <c r="J3" s="131">
        <f t="shared" ref="J3:J12" si="0">C3+D3+E3-F3-G3-H3+I3</f>
        <v>15</v>
      </c>
    </row>
    <row r="4" spans="1:10" x14ac:dyDescent="0.35">
      <c r="A4" s="131" t="s">
        <v>146</v>
      </c>
      <c r="B4" s="131" t="s">
        <v>149</v>
      </c>
      <c r="C4" s="131">
        <v>0</v>
      </c>
      <c r="D4" s="131">
        <v>75</v>
      </c>
      <c r="E4" s="131">
        <v>0</v>
      </c>
      <c r="F4" s="131">
        <v>55</v>
      </c>
      <c r="G4" s="131">
        <v>5</v>
      </c>
      <c r="H4" s="131">
        <v>15</v>
      </c>
      <c r="I4" s="131">
        <v>0</v>
      </c>
      <c r="J4" s="131">
        <f t="shared" si="0"/>
        <v>0</v>
      </c>
    </row>
    <row r="5" spans="1:10" x14ac:dyDescent="0.35">
      <c r="A5" s="131" t="s">
        <v>146</v>
      </c>
      <c r="B5" s="131" t="s">
        <v>150</v>
      </c>
      <c r="C5" s="131">
        <v>0</v>
      </c>
      <c r="D5" s="131">
        <v>75</v>
      </c>
      <c r="E5" s="131">
        <v>0</v>
      </c>
      <c r="F5" s="131">
        <v>70</v>
      </c>
      <c r="G5" s="131">
        <v>5</v>
      </c>
      <c r="H5" s="131">
        <v>0</v>
      </c>
      <c r="I5" s="131">
        <v>0</v>
      </c>
      <c r="J5" s="131">
        <f t="shared" si="0"/>
        <v>0</v>
      </c>
    </row>
    <row r="6" spans="1:10" x14ac:dyDescent="0.35">
      <c r="A6" s="131" t="s">
        <v>146</v>
      </c>
      <c r="B6" s="131" t="s">
        <v>151</v>
      </c>
      <c r="C6" s="131">
        <v>4</v>
      </c>
      <c r="D6" s="131">
        <v>0</v>
      </c>
      <c r="E6" s="131">
        <v>2</v>
      </c>
      <c r="F6" s="131">
        <v>2</v>
      </c>
      <c r="G6" s="131">
        <v>0</v>
      </c>
      <c r="H6" s="131">
        <v>0</v>
      </c>
      <c r="I6" s="131">
        <v>0</v>
      </c>
      <c r="J6" s="131">
        <f t="shared" si="0"/>
        <v>4</v>
      </c>
    </row>
    <row r="8" spans="1:10" x14ac:dyDescent="0.35">
      <c r="A8" s="131" t="s">
        <v>152</v>
      </c>
      <c r="B8" s="131" t="s">
        <v>153</v>
      </c>
      <c r="C8" s="131">
        <v>0</v>
      </c>
      <c r="D8" s="131">
        <v>0</v>
      </c>
      <c r="E8" s="131">
        <v>0</v>
      </c>
      <c r="F8" s="131">
        <v>0</v>
      </c>
      <c r="G8" s="131">
        <v>0</v>
      </c>
      <c r="H8" s="131">
        <v>0</v>
      </c>
      <c r="I8" s="131">
        <v>0</v>
      </c>
      <c r="J8" s="131">
        <f t="shared" si="0"/>
        <v>0</v>
      </c>
    </row>
    <row r="9" spans="1:10" x14ac:dyDescent="0.35">
      <c r="A9" s="131" t="s">
        <v>152</v>
      </c>
      <c r="B9" s="131" t="s">
        <v>154</v>
      </c>
      <c r="C9" s="131">
        <v>0</v>
      </c>
      <c r="D9" s="131">
        <v>0</v>
      </c>
      <c r="E9" s="131">
        <v>0</v>
      </c>
      <c r="F9" s="131">
        <v>0</v>
      </c>
      <c r="G9" s="131">
        <v>0</v>
      </c>
      <c r="H9" s="131">
        <v>0</v>
      </c>
      <c r="I9" s="131">
        <v>0</v>
      </c>
      <c r="J9" s="131">
        <f t="shared" si="0"/>
        <v>0</v>
      </c>
    </row>
    <row r="10" spans="1:10" x14ac:dyDescent="0.35">
      <c r="A10" s="131" t="s">
        <v>152</v>
      </c>
      <c r="B10" s="131" t="s">
        <v>155</v>
      </c>
      <c r="C10" s="131">
        <v>0</v>
      </c>
      <c r="D10" s="131">
        <v>0</v>
      </c>
      <c r="E10" s="131">
        <v>0</v>
      </c>
      <c r="F10" s="131">
        <v>0</v>
      </c>
      <c r="G10" s="131">
        <v>0</v>
      </c>
      <c r="H10" s="131">
        <v>0</v>
      </c>
      <c r="I10" s="131">
        <v>0</v>
      </c>
      <c r="J10" s="131">
        <f t="shared" si="0"/>
        <v>0</v>
      </c>
    </row>
    <row r="11" spans="1:10" x14ac:dyDescent="0.35">
      <c r="A11" s="131" t="s">
        <v>152</v>
      </c>
      <c r="B11" s="131" t="s">
        <v>150</v>
      </c>
      <c r="C11" s="131">
        <v>0</v>
      </c>
      <c r="D11" s="131">
        <v>0</v>
      </c>
      <c r="E11" s="131">
        <v>0</v>
      </c>
      <c r="F11" s="131">
        <v>0</v>
      </c>
      <c r="G11" s="131">
        <v>0</v>
      </c>
      <c r="H11" s="131">
        <v>0</v>
      </c>
      <c r="I11" s="131">
        <v>0</v>
      </c>
      <c r="J11" s="131">
        <f t="shared" si="0"/>
        <v>0</v>
      </c>
    </row>
    <row r="12" spans="1:10" x14ac:dyDescent="0.35">
      <c r="A12" s="131" t="s">
        <v>152</v>
      </c>
      <c r="B12" s="131" t="s">
        <v>156</v>
      </c>
      <c r="C12" s="131">
        <v>0</v>
      </c>
      <c r="D12" s="131">
        <v>0</v>
      </c>
      <c r="E12" s="131">
        <v>0</v>
      </c>
      <c r="F12" s="131">
        <v>0</v>
      </c>
      <c r="G12" s="131">
        <v>0</v>
      </c>
      <c r="H12" s="131">
        <v>0</v>
      </c>
      <c r="I12" s="131">
        <v>0</v>
      </c>
      <c r="J12" s="131">
        <f t="shared" si="0"/>
        <v>0</v>
      </c>
    </row>
    <row r="15" spans="1:10" s="135" customFormat="1" x14ac:dyDescent="0.35">
      <c r="A15" s="134"/>
      <c r="B15" s="134" t="s">
        <v>157</v>
      </c>
      <c r="C15" s="134">
        <f>SUM(C2:C14)</f>
        <v>119</v>
      </c>
      <c r="D15" s="134">
        <f t="shared" ref="D15:J15" si="1">SUM(D2:D14)</f>
        <v>150</v>
      </c>
      <c r="E15" s="134">
        <f t="shared" si="1"/>
        <v>2</v>
      </c>
      <c r="F15" s="134">
        <f t="shared" si="1"/>
        <v>137</v>
      </c>
      <c r="G15" s="134">
        <f t="shared" si="1"/>
        <v>20</v>
      </c>
      <c r="H15" s="134">
        <f t="shared" si="1"/>
        <v>55</v>
      </c>
      <c r="I15" s="134">
        <f t="shared" si="1"/>
        <v>60</v>
      </c>
      <c r="J15" s="134">
        <f t="shared" si="1"/>
        <v>119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zoomScale="150" zoomScaleNormal="150" workbookViewId="0">
      <selection activeCell="B8" sqref="B8"/>
    </sheetView>
  </sheetViews>
  <sheetFormatPr defaultRowHeight="14.5" x14ac:dyDescent="0.35"/>
  <cols>
    <col min="1" max="1" width="51.26953125" bestFit="1" customWidth="1"/>
    <col min="2" max="2" width="10" bestFit="1" customWidth="1"/>
  </cols>
  <sheetData>
    <row r="1" spans="1:2" ht="15" thickBot="1" x14ac:dyDescent="0.4"/>
    <row r="2" spans="1:2" x14ac:dyDescent="0.35">
      <c r="A2" s="151"/>
      <c r="B2" s="154" t="s">
        <v>103</v>
      </c>
    </row>
    <row r="3" spans="1:2" x14ac:dyDescent="0.35">
      <c r="A3" s="152" t="s">
        <v>158</v>
      </c>
      <c r="B3" s="171">
        <f>'Livestock Inventory'!C15+'Livestock Inventory'!E15</f>
        <v>121</v>
      </c>
    </row>
    <row r="4" spans="1:2" x14ac:dyDescent="0.35">
      <c r="A4" s="152" t="s">
        <v>132</v>
      </c>
      <c r="B4" s="172">
        <v>1</v>
      </c>
    </row>
    <row r="5" spans="1:2" x14ac:dyDescent="0.35">
      <c r="A5" s="152" t="s">
        <v>129</v>
      </c>
      <c r="B5" s="172">
        <v>90</v>
      </c>
    </row>
    <row r="6" spans="1:2" x14ac:dyDescent="0.35">
      <c r="A6" s="152" t="s">
        <v>133</v>
      </c>
      <c r="B6" s="173">
        <f>B4*B5</f>
        <v>90</v>
      </c>
    </row>
    <row r="7" spans="1:2" x14ac:dyDescent="0.35">
      <c r="A7" s="152" t="s">
        <v>130</v>
      </c>
      <c r="B7" s="174">
        <v>500</v>
      </c>
    </row>
    <row r="8" spans="1:2" x14ac:dyDescent="0.35">
      <c r="A8" s="152"/>
      <c r="B8" s="171"/>
    </row>
    <row r="9" spans="1:2" ht="15" thickBot="1" x14ac:dyDescent="0.4">
      <c r="A9" s="153" t="s">
        <v>131</v>
      </c>
      <c r="B9" s="175">
        <f>B7*B6</f>
        <v>45000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topLeftCell="H1" zoomScale="120" zoomScaleNormal="120" workbookViewId="0">
      <selection activeCell="R7" sqref="R7"/>
    </sheetView>
  </sheetViews>
  <sheetFormatPr defaultRowHeight="14.5" x14ac:dyDescent="0.35"/>
  <cols>
    <col min="1" max="17" width="13.7265625" customWidth="1"/>
  </cols>
  <sheetData>
    <row r="1" spans="1:17" x14ac:dyDescent="0.35">
      <c r="A1" s="268" t="s">
        <v>172</v>
      </c>
      <c r="B1" s="269"/>
      <c r="C1" s="269"/>
      <c r="D1" s="269"/>
      <c r="E1" s="269"/>
      <c r="F1" s="269"/>
      <c r="G1" s="142"/>
      <c r="I1" s="270" t="s">
        <v>165</v>
      </c>
      <c r="J1" s="271"/>
      <c r="K1" s="271"/>
      <c r="L1" s="271"/>
      <c r="M1" s="271"/>
      <c r="N1" s="271"/>
      <c r="O1" s="271"/>
      <c r="P1" s="271"/>
      <c r="Q1" s="272"/>
    </row>
    <row r="2" spans="1:17" x14ac:dyDescent="0.35">
      <c r="A2" s="179" t="s">
        <v>162</v>
      </c>
      <c r="B2" s="176" t="s">
        <v>163</v>
      </c>
      <c r="C2" s="176" t="s">
        <v>173</v>
      </c>
      <c r="D2" s="176" t="s">
        <v>175</v>
      </c>
      <c r="E2" s="176" t="s">
        <v>164</v>
      </c>
      <c r="F2" s="176" t="s">
        <v>173</v>
      </c>
      <c r="G2" s="180" t="s">
        <v>174</v>
      </c>
      <c r="H2" s="130"/>
      <c r="I2" s="179" t="s">
        <v>137</v>
      </c>
      <c r="J2" s="176" t="s">
        <v>149</v>
      </c>
      <c r="K2" s="176" t="s">
        <v>176</v>
      </c>
      <c r="L2" s="176" t="s">
        <v>155</v>
      </c>
      <c r="M2" s="176" t="s">
        <v>177</v>
      </c>
      <c r="N2" s="176" t="s">
        <v>151</v>
      </c>
      <c r="O2" s="176" t="s">
        <v>156</v>
      </c>
      <c r="P2" s="176" t="s">
        <v>147</v>
      </c>
      <c r="Q2" s="180" t="s">
        <v>153</v>
      </c>
    </row>
    <row r="3" spans="1:17" x14ac:dyDescent="0.35">
      <c r="A3" s="179" t="str">
        <f>'Livestock Inventory'!B2</f>
        <v>Ewes</v>
      </c>
      <c r="B3" s="176">
        <f>'Livestock Inventory'!C2</f>
        <v>100</v>
      </c>
      <c r="C3" s="177">
        <v>200</v>
      </c>
      <c r="D3" s="178">
        <f>C3*B3</f>
        <v>20000</v>
      </c>
      <c r="E3" s="176">
        <f>'Livestock Inventory'!J2</f>
        <v>100</v>
      </c>
      <c r="F3" s="177">
        <v>200</v>
      </c>
      <c r="G3" s="181">
        <f>F3*E3</f>
        <v>20000</v>
      </c>
      <c r="H3" s="130"/>
      <c r="I3" s="179" t="s">
        <v>166</v>
      </c>
      <c r="J3" s="176">
        <f>'Livestock Inventory'!F4</f>
        <v>55</v>
      </c>
      <c r="K3" s="176">
        <f>'Livestock Inventory'!F5</f>
        <v>70</v>
      </c>
      <c r="L3" s="176">
        <f>'Livestock Inventory'!F10</f>
        <v>0</v>
      </c>
      <c r="M3" s="176">
        <f>'Livestock Inventory'!F11</f>
        <v>0</v>
      </c>
      <c r="N3" s="176">
        <f>'Livestock Inventory'!F6</f>
        <v>2</v>
      </c>
      <c r="O3" s="176">
        <f>'Livestock Inventory'!F12</f>
        <v>0</v>
      </c>
      <c r="P3" s="144">
        <f>'Livestock Inventory'!F2</f>
        <v>10</v>
      </c>
      <c r="Q3" s="116">
        <f>'Livestock Inventory'!F8</f>
        <v>0</v>
      </c>
    </row>
    <row r="4" spans="1:17" x14ac:dyDescent="0.35">
      <c r="A4" s="179" t="str">
        <f>'Livestock Inventory'!B3</f>
        <v>Yearling Ewes</v>
      </c>
      <c r="B4" s="176">
        <f>'Livestock Inventory'!C3</f>
        <v>15</v>
      </c>
      <c r="C4" s="177">
        <v>225</v>
      </c>
      <c r="D4" s="178">
        <f t="shared" ref="D4:D13" si="0">C4*B4</f>
        <v>3375</v>
      </c>
      <c r="E4" s="176">
        <f>'Livestock Inventory'!J3</f>
        <v>15</v>
      </c>
      <c r="F4" s="177">
        <v>225</v>
      </c>
      <c r="G4" s="181">
        <f t="shared" ref="G4:G13" si="1">F4*E4</f>
        <v>3375</v>
      </c>
      <c r="H4" s="130"/>
      <c r="I4" s="179" t="s">
        <v>167</v>
      </c>
      <c r="J4" s="186">
        <v>100</v>
      </c>
      <c r="K4" s="186">
        <v>110</v>
      </c>
      <c r="L4" s="186">
        <v>45</v>
      </c>
      <c r="M4" s="186">
        <v>50</v>
      </c>
      <c r="N4" s="186">
        <v>250</v>
      </c>
      <c r="O4" s="186">
        <v>200</v>
      </c>
      <c r="P4" s="168">
        <v>150</v>
      </c>
      <c r="Q4" s="170">
        <v>100</v>
      </c>
    </row>
    <row r="5" spans="1:17" x14ac:dyDescent="0.35">
      <c r="A5" s="179" t="str">
        <f>'Livestock Inventory'!B4</f>
        <v>Ewe Lambs</v>
      </c>
      <c r="B5" s="176">
        <f>'Livestock Inventory'!C4</f>
        <v>0</v>
      </c>
      <c r="C5" s="177">
        <v>175</v>
      </c>
      <c r="D5" s="178">
        <f t="shared" si="0"/>
        <v>0</v>
      </c>
      <c r="E5" s="176">
        <f>'Livestock Inventory'!J4</f>
        <v>0</v>
      </c>
      <c r="F5" s="177">
        <v>175</v>
      </c>
      <c r="G5" s="181">
        <f t="shared" si="1"/>
        <v>0</v>
      </c>
      <c r="H5" s="130"/>
      <c r="I5" s="179" t="s">
        <v>168</v>
      </c>
      <c r="J5" s="187">
        <v>1.5</v>
      </c>
      <c r="K5" s="187">
        <v>1.5</v>
      </c>
      <c r="L5" s="187">
        <v>2</v>
      </c>
      <c r="M5" s="187">
        <v>2</v>
      </c>
      <c r="N5" s="187">
        <v>0.8</v>
      </c>
      <c r="O5" s="187">
        <v>1</v>
      </c>
      <c r="P5" s="187">
        <v>0.35</v>
      </c>
      <c r="Q5" s="189">
        <v>0.75</v>
      </c>
    </row>
    <row r="6" spans="1:17" x14ac:dyDescent="0.35">
      <c r="A6" s="179" t="str">
        <f>'Livestock Inventory'!B5</f>
        <v>Wethers</v>
      </c>
      <c r="B6" s="176">
        <f>'Livestock Inventory'!C5</f>
        <v>0</v>
      </c>
      <c r="C6" s="177">
        <v>125</v>
      </c>
      <c r="D6" s="178">
        <f t="shared" si="0"/>
        <v>0</v>
      </c>
      <c r="E6" s="176">
        <f>'Livestock Inventory'!J5</f>
        <v>0</v>
      </c>
      <c r="F6" s="177">
        <v>150</v>
      </c>
      <c r="G6" s="181">
        <f t="shared" si="1"/>
        <v>0</v>
      </c>
      <c r="H6" s="130"/>
      <c r="I6" s="179" t="s">
        <v>169</v>
      </c>
      <c r="J6" s="188">
        <f>J4*J5</f>
        <v>150</v>
      </c>
      <c r="K6" s="188">
        <f t="shared" ref="K6:Q6" si="2">K4*K5</f>
        <v>165</v>
      </c>
      <c r="L6" s="188">
        <f t="shared" si="2"/>
        <v>90</v>
      </c>
      <c r="M6" s="188">
        <f t="shared" si="2"/>
        <v>100</v>
      </c>
      <c r="N6" s="188">
        <f t="shared" si="2"/>
        <v>200</v>
      </c>
      <c r="O6" s="188">
        <f t="shared" si="2"/>
        <v>200</v>
      </c>
      <c r="P6" s="188">
        <f t="shared" si="2"/>
        <v>52.5</v>
      </c>
      <c r="Q6" s="190">
        <f t="shared" si="2"/>
        <v>75</v>
      </c>
    </row>
    <row r="7" spans="1:17" x14ac:dyDescent="0.35">
      <c r="A7" s="179" t="str">
        <f>'Livestock Inventory'!B6</f>
        <v>Rams</v>
      </c>
      <c r="B7" s="176">
        <f>'Livestock Inventory'!C6</f>
        <v>4</v>
      </c>
      <c r="C7" s="177">
        <v>300</v>
      </c>
      <c r="D7" s="178">
        <f t="shared" si="0"/>
        <v>1200</v>
      </c>
      <c r="E7" s="176">
        <f>'Livestock Inventory'!J6</f>
        <v>4</v>
      </c>
      <c r="F7" s="177">
        <v>300</v>
      </c>
      <c r="G7" s="181">
        <f t="shared" si="1"/>
        <v>1200</v>
      </c>
      <c r="H7" s="130"/>
      <c r="I7" s="179" t="s">
        <v>170</v>
      </c>
      <c r="J7" s="188">
        <f>J3*J6</f>
        <v>8250</v>
      </c>
      <c r="K7" s="188">
        <f t="shared" ref="K7:Q7" si="3">K3*K6</f>
        <v>11550</v>
      </c>
      <c r="L7" s="188">
        <f t="shared" si="3"/>
        <v>0</v>
      </c>
      <c r="M7" s="188">
        <f t="shared" si="3"/>
        <v>0</v>
      </c>
      <c r="N7" s="188">
        <f t="shared" si="3"/>
        <v>400</v>
      </c>
      <c r="O7" s="188">
        <f t="shared" si="3"/>
        <v>0</v>
      </c>
      <c r="P7" s="188">
        <f t="shared" si="3"/>
        <v>525</v>
      </c>
      <c r="Q7" s="190">
        <f t="shared" si="3"/>
        <v>0</v>
      </c>
    </row>
    <row r="8" spans="1:17" ht="15" thickBot="1" x14ac:dyDescent="0.4">
      <c r="A8" s="179"/>
      <c r="B8" s="176"/>
      <c r="C8" s="177"/>
      <c r="D8" s="178"/>
      <c r="E8" s="176"/>
      <c r="F8" s="177"/>
      <c r="G8" s="181"/>
      <c r="H8" s="130"/>
      <c r="I8" s="191" t="s">
        <v>171</v>
      </c>
      <c r="J8" s="192">
        <f>J7+K7+L7+M7+N7+O7+P7+Q7</f>
        <v>20725</v>
      </c>
      <c r="K8" s="193"/>
      <c r="L8" s="193"/>
      <c r="M8" s="193"/>
      <c r="N8" s="193"/>
      <c r="O8" s="193"/>
      <c r="P8" s="194"/>
      <c r="Q8" s="195"/>
    </row>
    <row r="9" spans="1:17" ht="15" thickBot="1" x14ac:dyDescent="0.4">
      <c r="A9" s="179" t="str">
        <f>'Livestock Inventory'!B8</f>
        <v>Does</v>
      </c>
      <c r="B9" s="176">
        <f>'Livestock Inventory'!C8</f>
        <v>0</v>
      </c>
      <c r="C9" s="169">
        <v>250</v>
      </c>
      <c r="D9" s="178">
        <f t="shared" si="0"/>
        <v>0</v>
      </c>
      <c r="E9" s="176">
        <f>'Livestock Inventory'!J8</f>
        <v>0</v>
      </c>
      <c r="F9" s="169">
        <v>250</v>
      </c>
      <c r="G9" s="181">
        <f t="shared" si="1"/>
        <v>0</v>
      </c>
    </row>
    <row r="10" spans="1:17" x14ac:dyDescent="0.35">
      <c r="A10" s="179" t="str">
        <f>'Livestock Inventory'!B9</f>
        <v>Yearling Does</v>
      </c>
      <c r="B10" s="176">
        <f>'Livestock Inventory'!C9</f>
        <v>0</v>
      </c>
      <c r="C10" s="169">
        <v>275</v>
      </c>
      <c r="D10" s="178">
        <f t="shared" si="0"/>
        <v>0</v>
      </c>
      <c r="E10" s="176">
        <f>'Livestock Inventory'!J9</f>
        <v>0</v>
      </c>
      <c r="F10" s="169">
        <v>275</v>
      </c>
      <c r="G10" s="181">
        <f t="shared" si="1"/>
        <v>0</v>
      </c>
      <c r="I10" s="270" t="s">
        <v>187</v>
      </c>
      <c r="J10" s="271"/>
      <c r="K10" s="271"/>
      <c r="L10" s="271"/>
      <c r="M10" s="271"/>
      <c r="N10" s="271"/>
      <c r="O10" s="271"/>
      <c r="P10" s="271"/>
      <c r="Q10" s="272"/>
    </row>
    <row r="11" spans="1:17" x14ac:dyDescent="0.35">
      <c r="A11" s="179" t="str">
        <f>'Livestock Inventory'!B10</f>
        <v>Doelings</v>
      </c>
      <c r="B11" s="176">
        <f>'Livestock Inventory'!C10</f>
        <v>0</v>
      </c>
      <c r="C11" s="169">
        <v>200</v>
      </c>
      <c r="D11" s="178">
        <f t="shared" si="0"/>
        <v>0</v>
      </c>
      <c r="E11" s="176">
        <f>'Livestock Inventory'!J10</f>
        <v>0</v>
      </c>
      <c r="F11" s="169">
        <v>200</v>
      </c>
      <c r="G11" s="181">
        <f t="shared" si="1"/>
        <v>0</v>
      </c>
      <c r="I11" s="179" t="s">
        <v>137</v>
      </c>
      <c r="J11" s="176" t="s">
        <v>149</v>
      </c>
      <c r="K11" s="176" t="s">
        <v>176</v>
      </c>
      <c r="L11" s="176" t="s">
        <v>155</v>
      </c>
      <c r="M11" s="176" t="s">
        <v>177</v>
      </c>
      <c r="N11" s="176" t="s">
        <v>151</v>
      </c>
      <c r="O11" s="176" t="s">
        <v>156</v>
      </c>
      <c r="P11" s="176" t="s">
        <v>147</v>
      </c>
      <c r="Q11" s="180" t="s">
        <v>153</v>
      </c>
    </row>
    <row r="12" spans="1:17" x14ac:dyDescent="0.35">
      <c r="A12" s="179" t="str">
        <f>'Livestock Inventory'!B11</f>
        <v>Wethers</v>
      </c>
      <c r="B12" s="176">
        <f>'Livestock Inventory'!C11</f>
        <v>0</v>
      </c>
      <c r="C12" s="169">
        <v>175</v>
      </c>
      <c r="D12" s="178">
        <f t="shared" si="0"/>
        <v>0</v>
      </c>
      <c r="E12" s="176">
        <f>'Livestock Inventory'!J11</f>
        <v>0</v>
      </c>
      <c r="F12" s="169">
        <v>175</v>
      </c>
      <c r="G12" s="181">
        <f t="shared" si="1"/>
        <v>0</v>
      </c>
      <c r="I12" s="179" t="s">
        <v>166</v>
      </c>
      <c r="J12" s="176">
        <f>'Livestock Inventory'!E4</f>
        <v>0</v>
      </c>
      <c r="K12" s="176">
        <f>'Livestock Inventory'!E5</f>
        <v>0</v>
      </c>
      <c r="L12" s="176">
        <f>'Livestock Inventory'!E10</f>
        <v>0</v>
      </c>
      <c r="M12" s="176">
        <f>'Livestock Inventory'!E11</f>
        <v>0</v>
      </c>
      <c r="N12" s="176">
        <f>'Livestock Inventory'!E6</f>
        <v>2</v>
      </c>
      <c r="O12" s="176">
        <f>'Livestock Inventory'!E12</f>
        <v>0</v>
      </c>
      <c r="P12" s="144">
        <f>'Livestock Inventory'!E2+'Livestock Inventory'!E3</f>
        <v>0</v>
      </c>
      <c r="Q12" s="116">
        <f>'Livestock Inventory'!E8+'Livestock Inventory'!E9</f>
        <v>0</v>
      </c>
    </row>
    <row r="13" spans="1:17" x14ac:dyDescent="0.35">
      <c r="A13" s="179" t="str">
        <f>'Livestock Inventory'!B12</f>
        <v>Bucks</v>
      </c>
      <c r="B13" s="176">
        <f>'Livestock Inventory'!C12</f>
        <v>0</v>
      </c>
      <c r="C13" s="169">
        <v>300</v>
      </c>
      <c r="D13" s="178">
        <f t="shared" si="0"/>
        <v>0</v>
      </c>
      <c r="E13" s="176">
        <f>'Livestock Inventory'!J12</f>
        <v>0</v>
      </c>
      <c r="F13" s="169">
        <v>300</v>
      </c>
      <c r="G13" s="181">
        <f t="shared" si="1"/>
        <v>0</v>
      </c>
      <c r="I13" s="179" t="s">
        <v>167</v>
      </c>
      <c r="J13" s="186">
        <v>60</v>
      </c>
      <c r="K13" s="186">
        <v>65</v>
      </c>
      <c r="L13" s="186">
        <v>45</v>
      </c>
      <c r="M13" s="186">
        <v>50</v>
      </c>
      <c r="N13" s="186">
        <v>250</v>
      </c>
      <c r="O13" s="186">
        <v>200</v>
      </c>
      <c r="P13" s="168">
        <v>150</v>
      </c>
      <c r="Q13" s="170">
        <v>100</v>
      </c>
    </row>
    <row r="14" spans="1:17" x14ac:dyDescent="0.35">
      <c r="A14" s="179"/>
      <c r="B14" s="144"/>
      <c r="C14" s="144"/>
      <c r="D14" s="144"/>
      <c r="E14" s="144"/>
      <c r="F14" s="144"/>
      <c r="G14" s="116"/>
      <c r="I14" s="179" t="s">
        <v>168</v>
      </c>
      <c r="J14" s="187">
        <v>1.75</v>
      </c>
      <c r="K14" s="187">
        <v>1.75</v>
      </c>
      <c r="L14" s="187">
        <v>2</v>
      </c>
      <c r="M14" s="187">
        <v>2</v>
      </c>
      <c r="N14" s="187">
        <v>1.2</v>
      </c>
      <c r="O14" s="187">
        <v>1.5</v>
      </c>
      <c r="P14" s="187">
        <v>1.5</v>
      </c>
      <c r="Q14" s="189">
        <v>2</v>
      </c>
    </row>
    <row r="15" spans="1:17" s="133" customFormat="1" ht="15" thickBot="1" x14ac:dyDescent="0.4">
      <c r="A15" s="182" t="s">
        <v>159</v>
      </c>
      <c r="B15" s="183"/>
      <c r="C15" s="183"/>
      <c r="D15" s="184">
        <f>SUM(D3:D14)</f>
        <v>24575</v>
      </c>
      <c r="E15" s="183"/>
      <c r="F15" s="183"/>
      <c r="G15" s="185">
        <f>SUM(G3:G14)</f>
        <v>24575</v>
      </c>
      <c r="I15" s="179" t="s">
        <v>169</v>
      </c>
      <c r="J15" s="188">
        <f>J13*J14</f>
        <v>105</v>
      </c>
      <c r="K15" s="188">
        <f t="shared" ref="K15:Q15" si="4">K13*K14</f>
        <v>113.75</v>
      </c>
      <c r="L15" s="188">
        <f t="shared" si="4"/>
        <v>90</v>
      </c>
      <c r="M15" s="188">
        <f t="shared" si="4"/>
        <v>100</v>
      </c>
      <c r="N15" s="188">
        <f t="shared" si="4"/>
        <v>300</v>
      </c>
      <c r="O15" s="188">
        <f t="shared" si="4"/>
        <v>300</v>
      </c>
      <c r="P15" s="188">
        <f t="shared" si="4"/>
        <v>225</v>
      </c>
      <c r="Q15" s="190">
        <f t="shared" si="4"/>
        <v>200</v>
      </c>
    </row>
    <row r="16" spans="1:17" x14ac:dyDescent="0.35">
      <c r="I16" s="179" t="s">
        <v>170</v>
      </c>
      <c r="J16" s="188">
        <f>J12*J15</f>
        <v>0</v>
      </c>
      <c r="K16" s="188">
        <f t="shared" ref="K16:Q16" si="5">K12*K15</f>
        <v>0</v>
      </c>
      <c r="L16" s="188">
        <f t="shared" si="5"/>
        <v>0</v>
      </c>
      <c r="M16" s="188">
        <f t="shared" si="5"/>
        <v>0</v>
      </c>
      <c r="N16" s="188">
        <f t="shared" si="5"/>
        <v>600</v>
      </c>
      <c r="O16" s="188">
        <f t="shared" si="5"/>
        <v>0</v>
      </c>
      <c r="P16" s="188">
        <f t="shared" si="5"/>
        <v>0</v>
      </c>
      <c r="Q16" s="190">
        <f t="shared" si="5"/>
        <v>0</v>
      </c>
    </row>
    <row r="17" spans="9:17" ht="15" thickBot="1" x14ac:dyDescent="0.4">
      <c r="I17" s="191" t="s">
        <v>171</v>
      </c>
      <c r="J17" s="192">
        <f>J16+K16+L16+M16+N16+O16+P16+Q16</f>
        <v>600</v>
      </c>
      <c r="K17" s="193"/>
      <c r="L17" s="193"/>
      <c r="M17" s="193"/>
      <c r="N17" s="193"/>
      <c r="O17" s="193"/>
      <c r="P17" s="194"/>
      <c r="Q17" s="195"/>
    </row>
  </sheetData>
  <mergeCells count="3">
    <mergeCell ref="A1:F1"/>
    <mergeCell ref="I1:Q1"/>
    <mergeCell ref="I10:Q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1"/>
  <sheetViews>
    <sheetView topLeftCell="A3" zoomScale="130" zoomScaleNormal="130" workbookViewId="0">
      <selection activeCell="D12" sqref="D12"/>
    </sheetView>
  </sheetViews>
  <sheetFormatPr defaultColWidth="8.81640625" defaultRowHeight="15.5" x14ac:dyDescent="0.35"/>
  <cols>
    <col min="1" max="1" width="1.81640625" customWidth="1"/>
    <col min="2" max="2" width="34.54296875" style="1" customWidth="1"/>
    <col min="3" max="3" width="14.54296875" style="1" customWidth="1"/>
    <col min="4" max="4" width="14.453125" style="1" customWidth="1"/>
    <col min="9" max="9" width="36.453125" customWidth="1"/>
    <col min="10" max="10" width="11.81640625" customWidth="1"/>
    <col min="14" max="14" width="40.1796875" customWidth="1"/>
    <col min="15" max="15" width="16.54296875" customWidth="1"/>
  </cols>
  <sheetData>
    <row r="1" spans="2:9" ht="16" thickBot="1" x14ac:dyDescent="0.4"/>
    <row r="2" spans="2:9" s="4" customFormat="1" ht="21.5" thickBot="1" x14ac:dyDescent="0.55000000000000004">
      <c r="B2" s="273" t="s">
        <v>11</v>
      </c>
      <c r="C2" s="274"/>
      <c r="D2" s="1"/>
      <c r="E2" s="275" t="s">
        <v>0</v>
      </c>
      <c r="F2" s="276"/>
      <c r="G2" s="276"/>
      <c r="H2" s="276"/>
      <c r="I2" s="277"/>
    </row>
    <row r="3" spans="2:9" s="4" customFormat="1" ht="21" x14ac:dyDescent="0.5">
      <c r="B3" s="5"/>
      <c r="C3" s="5"/>
      <c r="D3" s="1"/>
      <c r="E3" s="3"/>
      <c r="F3" s="3"/>
      <c r="G3" s="3"/>
      <c r="H3"/>
      <c r="I3" s="3"/>
    </row>
    <row r="6" spans="2:9" ht="19" thickBot="1" x14ac:dyDescent="0.5">
      <c r="B6" s="6" t="s">
        <v>12</v>
      </c>
    </row>
    <row r="7" spans="2:9" x14ac:dyDescent="0.35">
      <c r="B7" s="7" t="s">
        <v>1</v>
      </c>
      <c r="C7" s="8"/>
      <c r="D7" s="9">
        <v>15000</v>
      </c>
    </row>
    <row r="8" spans="2:9" x14ac:dyDescent="0.35">
      <c r="B8" s="10" t="s">
        <v>2</v>
      </c>
      <c r="C8" s="11"/>
      <c r="D8" s="12">
        <v>1500</v>
      </c>
    </row>
    <row r="9" spans="2:9" x14ac:dyDescent="0.35">
      <c r="B9" s="13" t="s">
        <v>3</v>
      </c>
      <c r="C9" s="14">
        <v>0.153</v>
      </c>
      <c r="D9" s="15">
        <f>C9*(D7+D8)</f>
        <v>2524.5</v>
      </c>
    </row>
    <row r="10" spans="2:9" x14ac:dyDescent="0.35">
      <c r="B10" s="16" t="s">
        <v>4</v>
      </c>
      <c r="C10" s="17"/>
      <c r="D10" s="12">
        <v>0</v>
      </c>
    </row>
    <row r="11" spans="2:9" s="19" customFormat="1" x14ac:dyDescent="0.35">
      <c r="B11" s="18" t="s">
        <v>2</v>
      </c>
      <c r="C11" s="11"/>
      <c r="D11" s="12">
        <v>0</v>
      </c>
      <c r="H11"/>
    </row>
    <row r="12" spans="2:9" x14ac:dyDescent="0.35">
      <c r="B12" s="10" t="s">
        <v>3</v>
      </c>
      <c r="C12" s="20">
        <f>C9</f>
        <v>0.153</v>
      </c>
      <c r="D12" s="21">
        <f>(D10+D11)*C12</f>
        <v>0</v>
      </c>
    </row>
    <row r="13" spans="2:9" x14ac:dyDescent="0.35">
      <c r="C13" s="22" t="s">
        <v>5</v>
      </c>
      <c r="D13" s="23">
        <f>SUM(D7:D12)</f>
        <v>19024.5</v>
      </c>
      <c r="E13" s="24"/>
    </row>
    <row r="14" spans="2:9" x14ac:dyDescent="0.35">
      <c r="C14" s="22"/>
      <c r="D14" s="23"/>
      <c r="E14" s="24"/>
    </row>
    <row r="15" spans="2:9" ht="19" thickBot="1" x14ac:dyDescent="0.5">
      <c r="B15" s="25" t="s">
        <v>16</v>
      </c>
      <c r="E15" s="24"/>
    </row>
    <row r="16" spans="2:9" x14ac:dyDescent="0.35">
      <c r="B16" s="26" t="s">
        <v>17</v>
      </c>
      <c r="C16" s="47"/>
      <c r="D16" s="28">
        <v>0</v>
      </c>
      <c r="E16" s="24"/>
    </row>
    <row r="17" spans="2:10" x14ac:dyDescent="0.35">
      <c r="B17" s="29" t="s">
        <v>6</v>
      </c>
      <c r="C17" s="46"/>
      <c r="D17" s="31">
        <v>0</v>
      </c>
      <c r="E17" s="24"/>
    </row>
    <row r="18" spans="2:10" x14ac:dyDescent="0.35">
      <c r="B18" s="29" t="s">
        <v>21</v>
      </c>
      <c r="C18" s="46"/>
      <c r="D18" s="31">
        <v>0</v>
      </c>
      <c r="E18" s="24"/>
    </row>
    <row r="19" spans="2:10" x14ac:dyDescent="0.35">
      <c r="B19" s="29" t="s">
        <v>7</v>
      </c>
      <c r="C19" s="46"/>
      <c r="D19" s="31">
        <v>0</v>
      </c>
      <c r="E19" s="24"/>
    </row>
    <row r="20" spans="2:10" x14ac:dyDescent="0.35">
      <c r="B20" s="32" t="s">
        <v>8</v>
      </c>
      <c r="C20" s="34">
        <v>0.155</v>
      </c>
      <c r="D20" s="15">
        <f>C20*D16</f>
        <v>0</v>
      </c>
      <c r="E20" s="24"/>
    </row>
    <row r="21" spans="2:10" x14ac:dyDescent="0.35">
      <c r="B21" s="32" t="s">
        <v>9</v>
      </c>
      <c r="C21" s="34">
        <v>0.09</v>
      </c>
      <c r="D21" s="15">
        <f>C21*D16</f>
        <v>0</v>
      </c>
      <c r="E21" s="24"/>
    </row>
    <row r="22" spans="2:10" x14ac:dyDescent="0.35">
      <c r="B22" s="48" t="s">
        <v>18</v>
      </c>
      <c r="C22" s="46"/>
      <c r="D22" s="49">
        <f>SUM(D16:D21)</f>
        <v>0</v>
      </c>
      <c r="E22" s="24"/>
    </row>
    <row r="23" spans="2:10" x14ac:dyDescent="0.35">
      <c r="B23" s="48" t="s">
        <v>19</v>
      </c>
      <c r="C23" s="51">
        <v>1</v>
      </c>
      <c r="D23" s="49"/>
      <c r="E23" s="24"/>
    </row>
    <row r="24" spans="2:10" ht="16" thickBot="1" x14ac:dyDescent="0.4">
      <c r="B24" s="38" t="s">
        <v>20</v>
      </c>
      <c r="C24" s="50"/>
      <c r="D24" s="40">
        <f>D22*C23</f>
        <v>0</v>
      </c>
      <c r="E24" s="24"/>
    </row>
    <row r="25" spans="2:10" x14ac:dyDescent="0.35">
      <c r="C25" s="22"/>
      <c r="D25" s="23"/>
      <c r="E25" s="24"/>
    </row>
    <row r="26" spans="2:10" x14ac:dyDescent="0.35">
      <c r="D26" s="23"/>
      <c r="E26" s="24"/>
    </row>
    <row r="27" spans="2:10" ht="19" thickBot="1" x14ac:dyDescent="0.5">
      <c r="B27" s="25" t="s">
        <v>15</v>
      </c>
      <c r="J27" s="2"/>
    </row>
    <row r="28" spans="2:10" ht="18.5" x14ac:dyDescent="0.45">
      <c r="B28" s="26" t="s">
        <v>22</v>
      </c>
      <c r="C28" s="27"/>
      <c r="D28" s="28">
        <v>15</v>
      </c>
      <c r="J28" s="2"/>
    </row>
    <row r="29" spans="2:10" ht="18.5" x14ac:dyDescent="0.45">
      <c r="B29" s="29" t="s">
        <v>6</v>
      </c>
      <c r="C29" s="30"/>
      <c r="D29" s="31">
        <v>0</v>
      </c>
      <c r="J29" s="2"/>
    </row>
    <row r="30" spans="2:10" ht="18.5" x14ac:dyDescent="0.45">
      <c r="B30" s="29" t="s">
        <v>7</v>
      </c>
      <c r="C30" s="30"/>
      <c r="D30" s="31">
        <v>0</v>
      </c>
      <c r="J30" s="2"/>
    </row>
    <row r="31" spans="2:10" ht="18.5" x14ac:dyDescent="0.45">
      <c r="B31" s="32" t="s">
        <v>23</v>
      </c>
      <c r="C31" s="52">
        <v>0.5</v>
      </c>
      <c r="D31" s="33"/>
      <c r="J31" s="2"/>
    </row>
    <row r="32" spans="2:10" ht="18.5" x14ac:dyDescent="0.45">
      <c r="B32" s="32" t="s">
        <v>8</v>
      </c>
      <c r="C32" s="34">
        <v>0.155</v>
      </c>
      <c r="D32" s="35">
        <f>C32*D28</f>
        <v>2.3250000000000002</v>
      </c>
      <c r="J32" s="2"/>
    </row>
    <row r="33" spans="2:10" ht="18.5" x14ac:dyDescent="0.45">
      <c r="B33" s="32" t="s">
        <v>9</v>
      </c>
      <c r="C33" s="34">
        <v>0.09</v>
      </c>
      <c r="D33" s="35">
        <f>C33*D28</f>
        <v>1.3499999999999999</v>
      </c>
      <c r="J33" s="2"/>
    </row>
    <row r="34" spans="2:10" ht="18.5" x14ac:dyDescent="0.45">
      <c r="B34" s="36" t="s">
        <v>10</v>
      </c>
      <c r="C34" s="37">
        <f>((C32+C33)*D28)+D28</f>
        <v>18.675000000000001</v>
      </c>
      <c r="D34" s="33"/>
      <c r="J34" s="2"/>
    </row>
    <row r="35" spans="2:10" ht="19" thickBot="1" x14ac:dyDescent="0.5">
      <c r="B35" s="38" t="s">
        <v>24</v>
      </c>
      <c r="C35" s="39"/>
      <c r="D35" s="40">
        <f>C31*2000*C34</f>
        <v>18675</v>
      </c>
      <c r="E35" s="24"/>
      <c r="J35" s="2"/>
    </row>
    <row r="36" spans="2:10" s="43" customFormat="1" ht="18.5" x14ac:dyDescent="0.45">
      <c r="B36" s="41"/>
      <c r="C36" s="22" t="s">
        <v>13</v>
      </c>
      <c r="D36" s="42">
        <f>D24+D35</f>
        <v>18675</v>
      </c>
      <c r="J36" s="44"/>
    </row>
    <row r="37" spans="2:10" ht="18.5" x14ac:dyDescent="0.45">
      <c r="C37" s="22" t="s">
        <v>14</v>
      </c>
      <c r="D37" s="23">
        <f>D13+D36</f>
        <v>37699.5</v>
      </c>
      <c r="J37" s="2"/>
    </row>
    <row r="38" spans="2:10" ht="18.5" x14ac:dyDescent="0.45">
      <c r="B38" s="45"/>
      <c r="J38" s="2"/>
    </row>
    <row r="39" spans="2:10" ht="18.5" x14ac:dyDescent="0.45">
      <c r="B39" s="45"/>
      <c r="J39" s="2"/>
    </row>
    <row r="40" spans="2:10" ht="18.5" x14ac:dyDescent="0.45">
      <c r="J40" s="2"/>
    </row>
    <row r="41" spans="2:10" ht="18.5" x14ac:dyDescent="0.45">
      <c r="J41" s="2"/>
    </row>
  </sheetData>
  <mergeCells count="2">
    <mergeCell ref="B2:C2"/>
    <mergeCell ref="E2:I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80"/>
  <sheetViews>
    <sheetView topLeftCell="A43" zoomScale="120" zoomScaleNormal="120" workbookViewId="0">
      <selection activeCell="C65" sqref="C65"/>
    </sheetView>
  </sheetViews>
  <sheetFormatPr defaultColWidth="8.81640625" defaultRowHeight="14.5" x14ac:dyDescent="0.35"/>
  <cols>
    <col min="1" max="1" width="2.1796875" customWidth="1"/>
    <col min="2" max="2" width="57.453125" style="53" customWidth="1"/>
    <col min="3" max="3" width="28" style="43" customWidth="1"/>
    <col min="4" max="4" width="2.81640625" style="43" customWidth="1"/>
    <col min="5" max="5" width="21" style="43" customWidth="1"/>
    <col min="6" max="6" width="15" customWidth="1"/>
    <col min="7" max="7" width="17.453125" customWidth="1"/>
    <col min="8" max="8" width="16.81640625" customWidth="1"/>
    <col min="9" max="9" width="16" customWidth="1"/>
    <col min="10" max="10" width="16.1796875" customWidth="1"/>
    <col min="11" max="11" width="12.81640625" customWidth="1"/>
    <col min="12" max="12" width="17" customWidth="1"/>
    <col min="13" max="13" width="12.453125" customWidth="1"/>
  </cols>
  <sheetData>
    <row r="1" spans="2:11" ht="6.75" customHeight="1" thickBot="1" x14ac:dyDescent="0.4"/>
    <row r="2" spans="2:11" ht="29" thickBot="1" x14ac:dyDescent="0.7">
      <c r="B2" s="278" t="s">
        <v>25</v>
      </c>
      <c r="C2" s="279"/>
      <c r="D2" s="54"/>
      <c r="E2" s="280" t="s">
        <v>0</v>
      </c>
      <c r="F2" s="281"/>
      <c r="G2" s="281"/>
      <c r="H2" s="282"/>
      <c r="I2" s="55"/>
      <c r="J2" s="55"/>
      <c r="K2" s="43"/>
    </row>
    <row r="11" spans="2:11" ht="18.5" x14ac:dyDescent="0.45">
      <c r="B11" s="283" t="s">
        <v>26</v>
      </c>
      <c r="C11" s="283"/>
      <c r="F11" s="56"/>
    </row>
    <row r="12" spans="2:11" ht="18.5" x14ac:dyDescent="0.45">
      <c r="B12" s="57" t="s">
        <v>27</v>
      </c>
      <c r="C12" s="58">
        <v>2000</v>
      </c>
    </row>
    <row r="13" spans="2:11" ht="18.5" x14ac:dyDescent="0.45">
      <c r="B13" s="57" t="s">
        <v>62</v>
      </c>
      <c r="C13" s="58">
        <v>250</v>
      </c>
    </row>
    <row r="14" spans="2:11" ht="18.5" x14ac:dyDescent="0.45">
      <c r="B14" s="57" t="s">
        <v>28</v>
      </c>
      <c r="C14" s="58">
        <v>0</v>
      </c>
    </row>
    <row r="15" spans="2:11" s="62" customFormat="1" ht="18.5" x14ac:dyDescent="0.45">
      <c r="B15" s="59" t="s">
        <v>29</v>
      </c>
      <c r="C15" s="60">
        <f>SUM(C12:C14)</f>
        <v>2250</v>
      </c>
      <c r="D15" s="61"/>
      <c r="E15" s="61"/>
    </row>
    <row r="16" spans="2:11" ht="18.5" x14ac:dyDescent="0.45">
      <c r="B16" s="57" t="s">
        <v>30</v>
      </c>
      <c r="C16" s="58">
        <v>0</v>
      </c>
    </row>
    <row r="17" spans="2:13" ht="18.5" x14ac:dyDescent="0.45">
      <c r="B17" s="57" t="s">
        <v>31</v>
      </c>
      <c r="C17" s="58">
        <v>0</v>
      </c>
      <c r="J17" s="62"/>
    </row>
    <row r="18" spans="2:13" ht="21" x14ac:dyDescent="0.5">
      <c r="B18" s="57" t="s">
        <v>32</v>
      </c>
      <c r="C18" s="58">
        <v>1200</v>
      </c>
      <c r="F18" s="63"/>
    </row>
    <row r="19" spans="2:13" ht="18.5" x14ac:dyDescent="0.45">
      <c r="B19" s="57" t="s">
        <v>33</v>
      </c>
      <c r="C19" s="58">
        <v>0</v>
      </c>
      <c r="E19" s="64"/>
      <c r="F19" s="64"/>
    </row>
    <row r="20" spans="2:13" ht="18.5" x14ac:dyDescent="0.45">
      <c r="B20" s="57" t="s">
        <v>34</v>
      </c>
      <c r="C20" s="58">
        <v>0</v>
      </c>
      <c r="E20" s="65"/>
      <c r="F20" s="65"/>
    </row>
    <row r="21" spans="2:13" ht="18.5" x14ac:dyDescent="0.45">
      <c r="B21" s="57" t="s">
        <v>35</v>
      </c>
      <c r="C21" s="58">
        <v>0</v>
      </c>
      <c r="E21" s="66"/>
      <c r="F21" s="67"/>
    </row>
    <row r="22" spans="2:13" s="62" customFormat="1" ht="18.5" x14ac:dyDescent="0.45">
      <c r="B22" s="68" t="s">
        <v>36</v>
      </c>
      <c r="C22" s="69">
        <f>SUM(C16:C21)</f>
        <v>1200</v>
      </c>
      <c r="D22" s="61"/>
      <c r="E22" s="61"/>
    </row>
    <row r="23" spans="2:13" ht="18.75" customHeight="1" x14ac:dyDescent="0.5">
      <c r="B23" s="57" t="s">
        <v>63</v>
      </c>
      <c r="C23" s="58">
        <v>500</v>
      </c>
      <c r="E23" s="61"/>
      <c r="F23" s="70"/>
    </row>
    <row r="24" spans="2:13" ht="18.5" x14ac:dyDescent="0.45">
      <c r="B24" s="57" t="s">
        <v>64</v>
      </c>
      <c r="C24" s="58">
        <v>2500</v>
      </c>
      <c r="E24" s="65"/>
      <c r="F24" s="61"/>
    </row>
    <row r="25" spans="2:13" ht="18.5" x14ac:dyDescent="0.45">
      <c r="B25" s="57" t="s">
        <v>65</v>
      </c>
      <c r="C25" s="58">
        <v>0</v>
      </c>
      <c r="L25" s="67"/>
      <c r="M25" s="61"/>
    </row>
    <row r="26" spans="2:13" s="62" customFormat="1" ht="18.5" x14ac:dyDescent="0.45">
      <c r="B26" s="68" t="s">
        <v>38</v>
      </c>
      <c r="C26" s="69">
        <f>SUM(C23:C25)</f>
        <v>3000</v>
      </c>
      <c r="D26" s="61"/>
      <c r="E26" s="66"/>
      <c r="F26" s="67"/>
    </row>
    <row r="27" spans="2:13" ht="18.5" x14ac:dyDescent="0.45">
      <c r="B27" s="57" t="s">
        <v>39</v>
      </c>
      <c r="C27" s="58">
        <v>0</v>
      </c>
      <c r="L27" s="67"/>
      <c r="M27" s="61"/>
    </row>
    <row r="28" spans="2:13" ht="18.5" x14ac:dyDescent="0.45">
      <c r="B28" s="57" t="s">
        <v>40</v>
      </c>
      <c r="C28" s="58">
        <v>1000</v>
      </c>
      <c r="L28" s="67"/>
      <c r="M28" s="61"/>
    </row>
    <row r="29" spans="2:13" ht="18.5" x14ac:dyDescent="0.45">
      <c r="B29" s="57" t="s">
        <v>41</v>
      </c>
      <c r="C29" s="58">
        <v>0</v>
      </c>
    </row>
    <row r="30" spans="2:13" s="62" customFormat="1" ht="18.5" x14ac:dyDescent="0.45">
      <c r="B30" s="68" t="s">
        <v>42</v>
      </c>
      <c r="C30" s="69">
        <f>SUM(C27:C29)</f>
        <v>1000</v>
      </c>
      <c r="D30" s="61"/>
      <c r="E30" s="61"/>
      <c r="L30" s="67"/>
      <c r="M30" s="61"/>
    </row>
    <row r="31" spans="2:13" ht="18.5" x14ac:dyDescent="0.45">
      <c r="B31" s="72" t="s">
        <v>43</v>
      </c>
      <c r="C31" s="58">
        <v>0</v>
      </c>
    </row>
    <row r="32" spans="2:13" ht="18.5" x14ac:dyDescent="0.45">
      <c r="B32" s="72" t="s">
        <v>44</v>
      </c>
      <c r="C32" s="58">
        <v>650</v>
      </c>
    </row>
    <row r="33" spans="2:5" ht="18.5" x14ac:dyDescent="0.45">
      <c r="B33" s="72" t="s">
        <v>45</v>
      </c>
      <c r="C33" s="58">
        <v>500</v>
      </c>
    </row>
    <row r="34" spans="2:5" ht="18.5" x14ac:dyDescent="0.45">
      <c r="B34" s="72" t="s">
        <v>46</v>
      </c>
      <c r="C34" s="58">
        <v>0</v>
      </c>
    </row>
    <row r="35" spans="2:5" ht="18.5" x14ac:dyDescent="0.45">
      <c r="B35" s="72" t="s">
        <v>47</v>
      </c>
      <c r="C35" s="58">
        <v>0</v>
      </c>
    </row>
    <row r="36" spans="2:5" ht="18.5" x14ac:dyDescent="0.45">
      <c r="B36" s="57" t="s">
        <v>48</v>
      </c>
      <c r="C36" s="58">
        <v>500</v>
      </c>
    </row>
    <row r="37" spans="2:5" ht="18.5" x14ac:dyDescent="0.45">
      <c r="B37" s="57" t="s">
        <v>49</v>
      </c>
      <c r="C37" s="58">
        <v>50</v>
      </c>
    </row>
    <row r="38" spans="2:5" ht="18.5" x14ac:dyDescent="0.45">
      <c r="B38" s="57" t="s">
        <v>37</v>
      </c>
      <c r="C38" s="58">
        <v>0</v>
      </c>
    </row>
    <row r="39" spans="2:5" s="62" customFormat="1" ht="18.5" x14ac:dyDescent="0.45">
      <c r="B39" s="68" t="s">
        <v>50</v>
      </c>
      <c r="C39" s="69">
        <f>SUM(C31:C38)</f>
        <v>1700</v>
      </c>
      <c r="D39" s="61"/>
      <c r="E39" s="61"/>
    </row>
    <row r="40" spans="2:5" ht="18.5" x14ac:dyDescent="0.45">
      <c r="B40" s="57" t="s">
        <v>51</v>
      </c>
      <c r="C40" s="58">
        <v>0</v>
      </c>
    </row>
    <row r="41" spans="2:5" ht="18.5" x14ac:dyDescent="0.45">
      <c r="B41" s="57" t="s">
        <v>52</v>
      </c>
      <c r="C41" s="58">
        <v>0</v>
      </c>
    </row>
    <row r="42" spans="2:5" ht="18.5" x14ac:dyDescent="0.45">
      <c r="B42" s="72" t="s">
        <v>37</v>
      </c>
      <c r="C42" s="58">
        <v>0</v>
      </c>
    </row>
    <row r="43" spans="2:5" s="62" customFormat="1" ht="18.5" x14ac:dyDescent="0.45">
      <c r="B43" s="68" t="s">
        <v>53</v>
      </c>
      <c r="C43" s="69">
        <f>SUM(C40:C42)</f>
        <v>0</v>
      </c>
      <c r="D43" s="61"/>
      <c r="E43" s="61"/>
    </row>
    <row r="44" spans="2:5" ht="18.5" x14ac:dyDescent="0.45">
      <c r="B44" s="57" t="s">
        <v>54</v>
      </c>
      <c r="C44" s="58">
        <v>0</v>
      </c>
    </row>
    <row r="45" spans="2:5" ht="18.5" x14ac:dyDescent="0.45">
      <c r="B45" s="57" t="s">
        <v>55</v>
      </c>
      <c r="C45" s="58">
        <v>0</v>
      </c>
    </row>
    <row r="46" spans="2:5" ht="18.5" x14ac:dyDescent="0.45">
      <c r="B46" s="57" t="s">
        <v>66</v>
      </c>
      <c r="C46" s="58">
        <v>0</v>
      </c>
    </row>
    <row r="47" spans="2:5" ht="18.5" x14ac:dyDescent="0.45">
      <c r="B47" s="57" t="s">
        <v>56</v>
      </c>
      <c r="C47" s="58">
        <v>0</v>
      </c>
    </row>
    <row r="48" spans="2:5" ht="18.5" x14ac:dyDescent="0.45">
      <c r="B48" s="71" t="s">
        <v>37</v>
      </c>
      <c r="C48" s="58">
        <v>0</v>
      </c>
    </row>
    <row r="49" spans="2:5" ht="18.5" x14ac:dyDescent="0.45">
      <c r="B49" s="71" t="s">
        <v>37</v>
      </c>
      <c r="C49" s="58">
        <v>0</v>
      </c>
    </row>
    <row r="50" spans="2:5" ht="18.5" x14ac:dyDescent="0.45">
      <c r="B50" s="57" t="s">
        <v>37</v>
      </c>
      <c r="C50" s="58">
        <v>0</v>
      </c>
    </row>
    <row r="51" spans="2:5" s="62" customFormat="1" ht="18.5" x14ac:dyDescent="0.45">
      <c r="B51" s="68" t="s">
        <v>57</v>
      </c>
      <c r="C51" s="69">
        <f>SUM(C44:C50)</f>
        <v>0</v>
      </c>
      <c r="D51" s="61"/>
      <c r="E51" s="61"/>
    </row>
    <row r="52" spans="2:5" ht="18.5" x14ac:dyDescent="0.45">
      <c r="B52" s="71" t="s">
        <v>67</v>
      </c>
      <c r="C52" s="58">
        <v>250</v>
      </c>
    </row>
    <row r="53" spans="2:5" ht="18.5" x14ac:dyDescent="0.45">
      <c r="B53" s="71" t="s">
        <v>68</v>
      </c>
      <c r="C53" s="58">
        <v>200</v>
      </c>
    </row>
    <row r="54" spans="2:5" ht="18.75" customHeight="1" x14ac:dyDescent="0.45">
      <c r="B54" s="57" t="s">
        <v>58</v>
      </c>
      <c r="C54" s="58">
        <v>0</v>
      </c>
    </row>
    <row r="55" spans="2:5" s="62" customFormat="1" ht="18.5" x14ac:dyDescent="0.45">
      <c r="B55" s="68" t="s">
        <v>59</v>
      </c>
      <c r="C55" s="69">
        <f>SUM(C52:C54)</f>
        <v>450</v>
      </c>
      <c r="D55" s="61"/>
      <c r="E55" s="61"/>
    </row>
    <row r="56" spans="2:5" ht="18.5" x14ac:dyDescent="0.45">
      <c r="B56" s="73" t="s">
        <v>69</v>
      </c>
      <c r="C56" s="74">
        <v>1000</v>
      </c>
    </row>
    <row r="57" spans="2:5" ht="18.5" x14ac:dyDescent="0.45">
      <c r="B57" s="73" t="s">
        <v>99</v>
      </c>
      <c r="C57" s="74">
        <v>1000</v>
      </c>
    </row>
    <row r="58" spans="2:5" ht="18.5" x14ac:dyDescent="0.45">
      <c r="B58" s="73" t="s">
        <v>70</v>
      </c>
      <c r="C58" s="74"/>
    </row>
    <row r="59" spans="2:5" ht="18.5" x14ac:dyDescent="0.45">
      <c r="B59" s="73"/>
      <c r="C59" s="74"/>
    </row>
    <row r="60" spans="2:5" ht="18.5" x14ac:dyDescent="0.45">
      <c r="B60" s="73"/>
      <c r="C60" s="74"/>
    </row>
    <row r="61" spans="2:5" ht="18.5" x14ac:dyDescent="0.45">
      <c r="B61" s="75" t="s">
        <v>238</v>
      </c>
      <c r="C61" s="128">
        <f>SUM(C56:C60)</f>
        <v>2000</v>
      </c>
    </row>
    <row r="62" spans="2:5" ht="29.25" customHeight="1" x14ac:dyDescent="0.45">
      <c r="B62" s="76" t="s">
        <v>61</v>
      </c>
      <c r="C62" s="77">
        <f>C61+C55+C51+C43+C39+C30+C26+C22+C15</f>
        <v>11600</v>
      </c>
    </row>
    <row r="64" spans="2:5" ht="15.5" x14ac:dyDescent="0.35">
      <c r="B64" s="78"/>
      <c r="D64" s="79"/>
      <c r="E64" s="79"/>
    </row>
    <row r="65" spans="2:5" ht="21" x14ac:dyDescent="0.5">
      <c r="B65" s="80"/>
      <c r="C65" s="81"/>
      <c r="D65" s="79"/>
      <c r="E65" s="79"/>
    </row>
    <row r="66" spans="2:5" x14ac:dyDescent="0.35">
      <c r="D66" s="79"/>
      <c r="E66" s="79"/>
    </row>
    <row r="67" spans="2:5" x14ac:dyDescent="0.35">
      <c r="D67" s="79"/>
      <c r="E67" s="79"/>
    </row>
    <row r="68" spans="2:5" ht="21" x14ac:dyDescent="0.5">
      <c r="D68" s="82"/>
      <c r="E68" s="79"/>
    </row>
    <row r="69" spans="2:5" x14ac:dyDescent="0.35">
      <c r="C69" s="79"/>
      <c r="D69" s="79"/>
      <c r="E69" s="79"/>
    </row>
    <row r="70" spans="2:5" x14ac:dyDescent="0.35">
      <c r="C70" s="79"/>
      <c r="D70" s="79"/>
      <c r="E70" s="79"/>
    </row>
    <row r="71" spans="2:5" x14ac:dyDescent="0.35">
      <c r="C71" s="79"/>
      <c r="D71" s="79"/>
      <c r="E71" s="79"/>
    </row>
    <row r="72" spans="2:5" x14ac:dyDescent="0.35">
      <c r="C72" s="79"/>
      <c r="D72" s="79"/>
      <c r="E72" s="79"/>
    </row>
    <row r="73" spans="2:5" x14ac:dyDescent="0.35">
      <c r="C73" s="79"/>
      <c r="D73" s="79"/>
      <c r="E73" s="79"/>
    </row>
    <row r="74" spans="2:5" x14ac:dyDescent="0.35">
      <c r="C74" s="79"/>
      <c r="D74" s="79"/>
      <c r="E74" s="79"/>
    </row>
    <row r="75" spans="2:5" x14ac:dyDescent="0.35">
      <c r="C75" s="79"/>
      <c r="D75" s="79"/>
      <c r="E75" s="79"/>
    </row>
    <row r="76" spans="2:5" x14ac:dyDescent="0.35">
      <c r="C76" s="79"/>
    </row>
    <row r="77" spans="2:5" x14ac:dyDescent="0.35">
      <c r="C77" s="79"/>
    </row>
    <row r="78" spans="2:5" x14ac:dyDescent="0.35">
      <c r="C78" s="79"/>
    </row>
    <row r="79" spans="2:5" x14ac:dyDescent="0.35">
      <c r="C79" s="79"/>
    </row>
    <row r="80" spans="2:5" x14ac:dyDescent="0.35">
      <c r="C80" s="79"/>
    </row>
  </sheetData>
  <mergeCells count="3">
    <mergeCell ref="B2:C2"/>
    <mergeCell ref="E2:H2"/>
    <mergeCell ref="B11:C11"/>
  </mergeCells>
  <hyperlinks>
    <hyperlink ref="B68:D68" location="'Non-Cash Overheads'!A1" display="Click Here to go to OVERHEADS PART II" xr:uid="{00000000-0004-0000-04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topLeftCell="A21" zoomScale="120" zoomScaleNormal="120" workbookViewId="0">
      <selection activeCell="C42" sqref="C42"/>
    </sheetView>
  </sheetViews>
  <sheetFormatPr defaultColWidth="8.81640625" defaultRowHeight="14.5" x14ac:dyDescent="0.35"/>
  <cols>
    <col min="1" max="1" width="2.453125" style="19" customWidth="1"/>
    <col min="2" max="2" width="46.453125" style="88" customWidth="1"/>
    <col min="3" max="3" width="19" style="19" customWidth="1"/>
    <col min="4" max="4" width="2.1796875" style="19" customWidth="1"/>
    <col min="5" max="5" width="20.1796875" style="19" customWidth="1"/>
    <col min="6" max="6" width="13" style="19" customWidth="1"/>
    <col min="7" max="7" width="6.453125" style="19" customWidth="1"/>
    <col min="8" max="8" width="20" style="19" customWidth="1"/>
    <col min="9" max="9" width="2.54296875" style="19" customWidth="1"/>
    <col min="10" max="14" width="8.81640625" style="19"/>
    <col min="15" max="15" width="20.453125" style="19" customWidth="1"/>
    <col min="16" max="16384" width="8.81640625" style="19"/>
  </cols>
  <sheetData>
    <row r="1" spans="2:10" ht="12.75" customHeight="1" thickBot="1" x14ac:dyDescent="0.6">
      <c r="B1" s="83"/>
      <c r="C1" s="84"/>
    </row>
    <row r="2" spans="2:10" ht="26.5" thickBot="1" x14ac:dyDescent="0.65">
      <c r="B2" s="278" t="s">
        <v>71</v>
      </c>
      <c r="C2" s="279"/>
      <c r="D2" s="54"/>
      <c r="E2" s="85" t="s">
        <v>0</v>
      </c>
      <c r="F2" s="86"/>
      <c r="G2" s="87"/>
      <c r="H2" s="3"/>
    </row>
    <row r="11" spans="2:10" ht="26.25" customHeight="1" thickBot="1" x14ac:dyDescent="0.4"/>
    <row r="12" spans="2:10" ht="37.5" thickBot="1" x14ac:dyDescent="0.5">
      <c r="B12" s="89" t="s">
        <v>72</v>
      </c>
      <c r="C12" s="90" t="s">
        <v>73</v>
      </c>
      <c r="D12" s="90"/>
      <c r="E12" s="90" t="s">
        <v>74</v>
      </c>
      <c r="F12" s="298" t="s">
        <v>75</v>
      </c>
      <c r="G12" s="298"/>
      <c r="H12" s="91" t="s">
        <v>76</v>
      </c>
    </row>
    <row r="13" spans="2:10" ht="18.5" x14ac:dyDescent="0.45">
      <c r="B13" s="92" t="s">
        <v>77</v>
      </c>
      <c r="C13" s="93">
        <v>0</v>
      </c>
      <c r="D13" s="93"/>
      <c r="E13" s="93"/>
      <c r="F13" s="293">
        <v>30</v>
      </c>
      <c r="G13" s="293"/>
      <c r="H13" s="94">
        <f>(C13-E13)/F13</f>
        <v>0</v>
      </c>
    </row>
    <row r="14" spans="2:10" ht="18.5" x14ac:dyDescent="0.45">
      <c r="B14" s="95" t="s">
        <v>78</v>
      </c>
      <c r="C14" s="74">
        <v>1000</v>
      </c>
      <c r="D14" s="93"/>
      <c r="E14" s="93">
        <v>0</v>
      </c>
      <c r="F14" s="293">
        <v>10</v>
      </c>
      <c r="G14" s="293"/>
      <c r="H14" s="94">
        <f t="shared" ref="H14:H16" si="0">(C14-E14)/F14</f>
        <v>100</v>
      </c>
    </row>
    <row r="15" spans="2:10" ht="18.5" x14ac:dyDescent="0.45">
      <c r="B15" s="95" t="s">
        <v>79</v>
      </c>
      <c r="C15" s="74">
        <v>0</v>
      </c>
      <c r="D15" s="93"/>
      <c r="E15" s="93">
        <v>0</v>
      </c>
      <c r="F15" s="293">
        <v>10</v>
      </c>
      <c r="G15" s="293"/>
      <c r="H15" s="94">
        <f t="shared" si="0"/>
        <v>0</v>
      </c>
      <c r="J15" s="96"/>
    </row>
    <row r="16" spans="2:10" ht="19" thickBot="1" x14ac:dyDescent="0.5">
      <c r="B16" s="97" t="s">
        <v>60</v>
      </c>
      <c r="C16" s="98">
        <v>0</v>
      </c>
      <c r="D16" s="99"/>
      <c r="E16" s="99"/>
      <c r="F16" s="293">
        <v>2</v>
      </c>
      <c r="G16" s="293"/>
      <c r="H16" s="94">
        <f t="shared" si="0"/>
        <v>0</v>
      </c>
    </row>
    <row r="17" spans="2:8" ht="19" thickBot="1" x14ac:dyDescent="0.5">
      <c r="B17" s="100" t="s">
        <v>80</v>
      </c>
      <c r="C17" s="101">
        <f>SUM(C13:C16)</f>
        <v>1000</v>
      </c>
      <c r="D17" s="101"/>
      <c r="E17" s="101"/>
      <c r="F17" s="299"/>
      <c r="G17" s="299"/>
      <c r="H17" s="102">
        <f>IFERROR(SUM(H13:H16),0)</f>
        <v>100</v>
      </c>
    </row>
    <row r="18" spans="2:8" ht="18.5" x14ac:dyDescent="0.45">
      <c r="B18" s="92" t="s">
        <v>81</v>
      </c>
      <c r="C18" s="93">
        <v>15000</v>
      </c>
      <c r="D18" s="93"/>
      <c r="E18" s="93">
        <v>2500</v>
      </c>
      <c r="F18" s="293">
        <v>10</v>
      </c>
      <c r="G18" s="293"/>
      <c r="H18" s="94">
        <f t="shared" ref="H18:H39" si="1">(C18-E18)/F18</f>
        <v>1250</v>
      </c>
    </row>
    <row r="19" spans="2:8" ht="18.5" x14ac:dyDescent="0.45">
      <c r="B19" s="95" t="s">
        <v>94</v>
      </c>
      <c r="C19" s="74">
        <v>5000</v>
      </c>
      <c r="D19" s="93"/>
      <c r="E19" s="93">
        <v>2000</v>
      </c>
      <c r="F19" s="293">
        <v>10</v>
      </c>
      <c r="G19" s="293"/>
      <c r="H19" s="94">
        <f t="shared" si="1"/>
        <v>300</v>
      </c>
    </row>
    <row r="20" spans="2:8" ht="18.5" x14ac:dyDescent="0.45">
      <c r="B20" s="95" t="s">
        <v>95</v>
      </c>
      <c r="C20" s="74">
        <v>2000</v>
      </c>
      <c r="D20" s="93"/>
      <c r="E20" s="93">
        <v>500</v>
      </c>
      <c r="F20" s="293">
        <v>15</v>
      </c>
      <c r="G20" s="293"/>
      <c r="H20" s="94">
        <f t="shared" si="1"/>
        <v>100</v>
      </c>
    </row>
    <row r="21" spans="2:8" ht="18.5" x14ac:dyDescent="0.45">
      <c r="B21" s="95" t="s">
        <v>96</v>
      </c>
      <c r="C21" s="74">
        <v>10000</v>
      </c>
      <c r="D21" s="93"/>
      <c r="E21" s="93">
        <v>2000</v>
      </c>
      <c r="F21" s="293">
        <v>10</v>
      </c>
      <c r="G21" s="293"/>
      <c r="H21" s="94">
        <f t="shared" si="1"/>
        <v>800</v>
      </c>
    </row>
    <row r="22" spans="2:8" ht="19" thickBot="1" x14ac:dyDescent="0.5">
      <c r="B22" s="97" t="s">
        <v>97</v>
      </c>
      <c r="C22" s="98">
        <v>0</v>
      </c>
      <c r="D22" s="99"/>
      <c r="E22" s="99"/>
      <c r="F22" s="293">
        <v>2</v>
      </c>
      <c r="G22" s="293"/>
      <c r="H22" s="94">
        <f t="shared" si="1"/>
        <v>0</v>
      </c>
    </row>
    <row r="23" spans="2:8" ht="19" thickBot="1" x14ac:dyDescent="0.5">
      <c r="B23" s="100" t="s">
        <v>82</v>
      </c>
      <c r="C23" s="101">
        <f>SUM(C18:C22)</f>
        <v>32000</v>
      </c>
      <c r="D23" s="101"/>
      <c r="E23" s="101"/>
      <c r="F23" s="296"/>
      <c r="G23" s="296"/>
      <c r="H23" s="102">
        <f>IFERROR(SUM(H18:H22),0)</f>
        <v>2450</v>
      </c>
    </row>
    <row r="24" spans="2:8" ht="18.5" x14ac:dyDescent="0.45">
      <c r="B24" s="92" t="s">
        <v>83</v>
      </c>
      <c r="C24" s="93">
        <v>0</v>
      </c>
      <c r="D24" s="93"/>
      <c r="E24" s="93"/>
      <c r="F24" s="293">
        <v>10</v>
      </c>
      <c r="G24" s="293"/>
      <c r="H24" s="94">
        <f t="shared" si="1"/>
        <v>0</v>
      </c>
    </row>
    <row r="25" spans="2:8" ht="18.5" x14ac:dyDescent="0.45">
      <c r="B25" s="95" t="s">
        <v>84</v>
      </c>
      <c r="C25" s="74">
        <v>10000</v>
      </c>
      <c r="D25" s="93"/>
      <c r="E25" s="93">
        <v>1000</v>
      </c>
      <c r="F25" s="293">
        <v>6</v>
      </c>
      <c r="G25" s="293"/>
      <c r="H25" s="94">
        <f t="shared" si="1"/>
        <v>1500</v>
      </c>
    </row>
    <row r="26" spans="2:8" ht="18.5" x14ac:dyDescent="0.45">
      <c r="B26" s="95" t="s">
        <v>85</v>
      </c>
      <c r="C26" s="74">
        <v>0</v>
      </c>
      <c r="D26" s="93"/>
      <c r="E26" s="93"/>
      <c r="F26" s="293">
        <v>2</v>
      </c>
      <c r="G26" s="293"/>
      <c r="H26" s="94">
        <f t="shared" si="1"/>
        <v>0</v>
      </c>
    </row>
    <row r="27" spans="2:8" ht="18.5" x14ac:dyDescent="0.45">
      <c r="B27" s="95" t="s">
        <v>86</v>
      </c>
      <c r="C27" s="74">
        <v>450</v>
      </c>
      <c r="D27" s="93"/>
      <c r="E27" s="93">
        <v>0</v>
      </c>
      <c r="F27" s="293">
        <v>5</v>
      </c>
      <c r="G27" s="293"/>
      <c r="H27" s="94">
        <f t="shared" si="1"/>
        <v>90</v>
      </c>
    </row>
    <row r="28" spans="2:8" ht="18.5" x14ac:dyDescent="0.45">
      <c r="B28" s="95" t="s">
        <v>87</v>
      </c>
      <c r="C28" s="74">
        <v>0</v>
      </c>
      <c r="D28" s="93"/>
      <c r="E28" s="93"/>
      <c r="F28" s="293">
        <v>2</v>
      </c>
      <c r="G28" s="293"/>
      <c r="H28" s="94">
        <f t="shared" si="1"/>
        <v>0</v>
      </c>
    </row>
    <row r="29" spans="2:8" ht="19" thickBot="1" x14ac:dyDescent="0.5">
      <c r="B29" s="97" t="s">
        <v>97</v>
      </c>
      <c r="C29" s="98">
        <v>0</v>
      </c>
      <c r="D29" s="99"/>
      <c r="E29" s="99"/>
      <c r="F29" s="293">
        <v>2</v>
      </c>
      <c r="G29" s="293"/>
      <c r="H29" s="94">
        <f t="shared" si="1"/>
        <v>0</v>
      </c>
    </row>
    <row r="30" spans="2:8" ht="19" thickBot="1" x14ac:dyDescent="0.5">
      <c r="B30" s="103" t="s">
        <v>88</v>
      </c>
      <c r="C30" s="104">
        <f>SUM(C24:C29)</f>
        <v>10450</v>
      </c>
      <c r="D30" s="105"/>
      <c r="E30" s="105"/>
      <c r="F30" s="294"/>
      <c r="G30" s="295"/>
      <c r="H30" s="106">
        <f>IFERROR(SUM(H24:H29),0)</f>
        <v>1590</v>
      </c>
    </row>
    <row r="31" spans="2:8" ht="18.5" x14ac:dyDescent="0.45">
      <c r="B31" s="92" t="s">
        <v>89</v>
      </c>
      <c r="C31" s="93">
        <v>100</v>
      </c>
      <c r="D31" s="93"/>
      <c r="E31" s="93"/>
      <c r="F31" s="293">
        <v>2</v>
      </c>
      <c r="G31" s="293"/>
      <c r="H31" s="94">
        <f t="shared" si="1"/>
        <v>50</v>
      </c>
    </row>
    <row r="32" spans="2:8" ht="19" thickBot="1" x14ac:dyDescent="0.5">
      <c r="B32" s="97" t="s">
        <v>97</v>
      </c>
      <c r="C32" s="98">
        <v>0</v>
      </c>
      <c r="D32" s="99"/>
      <c r="E32" s="99"/>
      <c r="F32" s="293">
        <v>2</v>
      </c>
      <c r="G32" s="293"/>
      <c r="H32" s="94">
        <f t="shared" si="1"/>
        <v>0</v>
      </c>
    </row>
    <row r="33" spans="2:8" ht="19" thickBot="1" x14ac:dyDescent="0.5">
      <c r="B33" s="100" t="s">
        <v>90</v>
      </c>
      <c r="C33" s="101">
        <f>SUM(C31:C32)</f>
        <v>100</v>
      </c>
      <c r="D33" s="101"/>
      <c r="E33" s="101"/>
      <c r="F33" s="296"/>
      <c r="G33" s="297"/>
      <c r="H33" s="102">
        <f>IFERROR(SUM(H31:H32),0)</f>
        <v>50</v>
      </c>
    </row>
    <row r="34" spans="2:8" ht="18.5" x14ac:dyDescent="0.45">
      <c r="B34" s="108" t="s">
        <v>91</v>
      </c>
      <c r="C34" s="74">
        <v>0</v>
      </c>
      <c r="D34" s="93"/>
      <c r="E34" s="93"/>
      <c r="F34" s="286">
        <v>2</v>
      </c>
      <c r="G34" s="286"/>
      <c r="H34" s="94">
        <f t="shared" si="1"/>
        <v>0</v>
      </c>
    </row>
    <row r="35" spans="2:8" ht="18.5" x14ac:dyDescent="0.45">
      <c r="B35" s="97" t="s">
        <v>98</v>
      </c>
      <c r="C35" s="74">
        <v>0</v>
      </c>
      <c r="D35" s="93"/>
      <c r="E35" s="93">
        <v>0</v>
      </c>
      <c r="F35" s="286">
        <v>8</v>
      </c>
      <c r="G35" s="286"/>
      <c r="H35" s="94">
        <f t="shared" si="1"/>
        <v>0</v>
      </c>
    </row>
    <row r="36" spans="2:8" ht="18.5" x14ac:dyDescent="0.45">
      <c r="B36" s="97" t="s">
        <v>99</v>
      </c>
      <c r="C36" s="74">
        <v>4500</v>
      </c>
      <c r="D36" s="93"/>
      <c r="E36" s="93"/>
      <c r="F36" s="291">
        <v>10</v>
      </c>
      <c r="G36" s="292"/>
      <c r="H36" s="94">
        <f t="shared" si="1"/>
        <v>450</v>
      </c>
    </row>
    <row r="37" spans="2:8" ht="18.5" x14ac:dyDescent="0.45">
      <c r="B37" s="97" t="s">
        <v>100</v>
      </c>
      <c r="C37" s="74">
        <v>600</v>
      </c>
      <c r="D37" s="93"/>
      <c r="E37" s="93"/>
      <c r="F37" s="291">
        <v>8</v>
      </c>
      <c r="G37" s="292"/>
      <c r="H37" s="94">
        <f t="shared" si="1"/>
        <v>75</v>
      </c>
    </row>
    <row r="38" spans="2:8" ht="18.5" x14ac:dyDescent="0.45">
      <c r="B38" s="97" t="s">
        <v>97</v>
      </c>
      <c r="C38" s="74">
        <v>0</v>
      </c>
      <c r="D38" s="93"/>
      <c r="E38" s="93"/>
      <c r="F38" s="286">
        <v>2</v>
      </c>
      <c r="G38" s="286"/>
      <c r="H38" s="94">
        <f t="shared" si="1"/>
        <v>0</v>
      </c>
    </row>
    <row r="39" spans="2:8" ht="19" thickBot="1" x14ac:dyDescent="0.5">
      <c r="B39" s="97" t="s">
        <v>97</v>
      </c>
      <c r="C39" s="98">
        <v>0</v>
      </c>
      <c r="D39" s="99"/>
      <c r="E39" s="99"/>
      <c r="F39" s="286">
        <v>2</v>
      </c>
      <c r="G39" s="286"/>
      <c r="H39" s="94">
        <f t="shared" si="1"/>
        <v>0</v>
      </c>
    </row>
    <row r="40" spans="2:8" ht="19" thickBot="1" x14ac:dyDescent="0.5">
      <c r="B40" s="100" t="s">
        <v>101</v>
      </c>
      <c r="C40" s="101">
        <f>SUM(C34:C39)</f>
        <v>5100</v>
      </c>
      <c r="D40" s="107"/>
      <c r="E40" s="107"/>
      <c r="F40" s="287"/>
      <c r="G40" s="288"/>
      <c r="H40" s="102">
        <f>IFERROR(SUM(H34:H39),0)</f>
        <v>525</v>
      </c>
    </row>
    <row r="41" spans="2:8" s="6" customFormat="1" ht="40.5" customHeight="1" thickBot="1" x14ac:dyDescent="0.5">
      <c r="B41" s="109" t="s">
        <v>92</v>
      </c>
      <c r="C41" s="110"/>
      <c r="D41" s="111"/>
      <c r="E41" s="111"/>
      <c r="F41" s="289" t="s">
        <v>93</v>
      </c>
      <c r="G41" s="290"/>
      <c r="H41" s="112">
        <f>H40+H33+H30+H23+H17</f>
        <v>4715</v>
      </c>
    </row>
    <row r="43" spans="2:8" ht="18.5" x14ac:dyDescent="0.45">
      <c r="B43" s="113"/>
    </row>
    <row r="44" spans="2:8" ht="21" x14ac:dyDescent="0.5">
      <c r="B44" s="284"/>
      <c r="C44" s="284"/>
      <c r="D44" s="81"/>
      <c r="E44" s="81"/>
      <c r="F44" s="81"/>
      <c r="G44" s="81"/>
    </row>
    <row r="45" spans="2:8" ht="21" x14ac:dyDescent="0.5">
      <c r="B45" s="285"/>
      <c r="C45" s="285"/>
      <c r="D45" s="81"/>
      <c r="E45" s="81"/>
      <c r="F45" s="81"/>
      <c r="G45" s="81"/>
    </row>
    <row r="46" spans="2:8" x14ac:dyDescent="0.35">
      <c r="D46" s="114"/>
      <c r="E46" s="114"/>
      <c r="F46" s="114"/>
      <c r="G46" s="114"/>
    </row>
  </sheetData>
  <mergeCells count="33">
    <mergeCell ref="F20:G20"/>
    <mergeCell ref="B2:C2"/>
    <mergeCell ref="F12:G12"/>
    <mergeCell ref="F13:G13"/>
    <mergeCell ref="F14:G14"/>
    <mergeCell ref="F15:G15"/>
    <mergeCell ref="F16:G16"/>
    <mergeCell ref="F17:G17"/>
    <mergeCell ref="F18:G18"/>
    <mergeCell ref="F19:G19"/>
    <mergeCell ref="F24:G24"/>
    <mergeCell ref="F25:G25"/>
    <mergeCell ref="F21:G21"/>
    <mergeCell ref="F22:G22"/>
    <mergeCell ref="F23:G23"/>
    <mergeCell ref="F37:G37"/>
    <mergeCell ref="F31:G31"/>
    <mergeCell ref="F26:G26"/>
    <mergeCell ref="F27:G27"/>
    <mergeCell ref="F28:G28"/>
    <mergeCell ref="F29:G29"/>
    <mergeCell ref="F30:G30"/>
    <mergeCell ref="F32:G32"/>
    <mergeCell ref="F33:G33"/>
    <mergeCell ref="F34:G34"/>
    <mergeCell ref="F35:G35"/>
    <mergeCell ref="F36:G36"/>
    <mergeCell ref="B44:C44"/>
    <mergeCell ref="B45:C45"/>
    <mergeCell ref="F38:G38"/>
    <mergeCell ref="F39:G39"/>
    <mergeCell ref="F40:G40"/>
    <mergeCell ref="F41:G4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6"/>
  <sheetViews>
    <sheetView topLeftCell="A3" zoomScale="130" zoomScaleNormal="130" workbookViewId="0">
      <selection activeCell="B13" sqref="B13"/>
    </sheetView>
  </sheetViews>
  <sheetFormatPr defaultRowHeight="14.5" x14ac:dyDescent="0.35"/>
  <cols>
    <col min="1" max="1" width="34.1796875" customWidth="1"/>
    <col min="2" max="3" width="12.7265625" customWidth="1"/>
  </cols>
  <sheetData>
    <row r="1" spans="1:3" x14ac:dyDescent="0.35">
      <c r="A1" s="268" t="s">
        <v>108</v>
      </c>
      <c r="B1" s="271"/>
      <c r="C1" s="303"/>
    </row>
    <row r="2" spans="1:3" ht="47.25" customHeight="1" x14ac:dyDescent="0.35">
      <c r="A2" s="300" t="s">
        <v>109</v>
      </c>
      <c r="B2" s="301"/>
      <c r="C2" s="302"/>
    </row>
    <row r="3" spans="1:3" x14ac:dyDescent="0.35">
      <c r="A3" s="115"/>
      <c r="B3" s="136"/>
      <c r="C3" s="116"/>
    </row>
    <row r="4" spans="1:3" x14ac:dyDescent="0.35">
      <c r="A4" s="115" t="s">
        <v>161</v>
      </c>
      <c r="B4" s="136"/>
      <c r="C4" s="116">
        <f>'Livestock Inventory'!C15+'Livestock Inventory'!E15</f>
        <v>121</v>
      </c>
    </row>
    <row r="5" spans="1:3" x14ac:dyDescent="0.35">
      <c r="A5" s="115"/>
      <c r="B5" s="136"/>
      <c r="C5" s="116"/>
    </row>
    <row r="6" spans="1:3" x14ac:dyDescent="0.35">
      <c r="A6" s="117" t="s">
        <v>102</v>
      </c>
      <c r="B6" s="139" t="s">
        <v>160</v>
      </c>
      <c r="C6" s="138" t="s">
        <v>159</v>
      </c>
    </row>
    <row r="7" spans="1:3" x14ac:dyDescent="0.35">
      <c r="A7" s="115" t="s">
        <v>110</v>
      </c>
      <c r="B7" s="140">
        <v>12</v>
      </c>
      <c r="C7" s="129">
        <f>B7*$C$4</f>
        <v>1452</v>
      </c>
    </row>
    <row r="8" spans="1:3" x14ac:dyDescent="0.35">
      <c r="A8" s="115" t="s">
        <v>111</v>
      </c>
      <c r="B8" s="140">
        <v>5</v>
      </c>
      <c r="C8" s="129">
        <f t="shared" ref="C8:C15" si="0">B8*$C$4</f>
        <v>605</v>
      </c>
    </row>
    <row r="9" spans="1:3" x14ac:dyDescent="0.35">
      <c r="A9" s="115" t="s">
        <v>104</v>
      </c>
      <c r="B9" s="140">
        <v>15</v>
      </c>
      <c r="C9" s="129">
        <f t="shared" si="0"/>
        <v>1815</v>
      </c>
    </row>
    <row r="10" spans="1:3" x14ac:dyDescent="0.35">
      <c r="A10" s="115" t="s">
        <v>112</v>
      </c>
      <c r="B10" s="140">
        <v>5</v>
      </c>
      <c r="C10" s="129">
        <f t="shared" si="0"/>
        <v>605</v>
      </c>
    </row>
    <row r="11" spans="1:3" x14ac:dyDescent="0.35">
      <c r="A11" s="115" t="s">
        <v>105</v>
      </c>
      <c r="B11" s="140">
        <v>25</v>
      </c>
      <c r="C11" s="129">
        <f t="shared" si="0"/>
        <v>3025</v>
      </c>
    </row>
    <row r="12" spans="1:3" x14ac:dyDescent="0.35">
      <c r="A12" s="115" t="s">
        <v>106</v>
      </c>
      <c r="B12" s="140">
        <v>5</v>
      </c>
      <c r="C12" s="129">
        <f t="shared" si="0"/>
        <v>605</v>
      </c>
    </row>
    <row r="13" spans="1:3" x14ac:dyDescent="0.35">
      <c r="A13" s="115" t="s">
        <v>107</v>
      </c>
      <c r="B13" s="140">
        <v>1.5</v>
      </c>
      <c r="C13" s="129">
        <f t="shared" si="0"/>
        <v>181.5</v>
      </c>
    </row>
    <row r="14" spans="1:3" x14ac:dyDescent="0.35">
      <c r="A14" s="115" t="s">
        <v>37</v>
      </c>
      <c r="B14" s="140"/>
      <c r="C14" s="129">
        <f t="shared" si="0"/>
        <v>0</v>
      </c>
    </row>
    <row r="15" spans="1:3" ht="15" thickBot="1" x14ac:dyDescent="0.4">
      <c r="A15" s="118" t="s">
        <v>37</v>
      </c>
      <c r="B15" s="141"/>
      <c r="C15" s="129">
        <f t="shared" si="0"/>
        <v>0</v>
      </c>
    </row>
    <row r="16" spans="1:3" ht="15" thickBot="1" x14ac:dyDescent="0.4">
      <c r="A16" s="119" t="s">
        <v>113</v>
      </c>
      <c r="B16" s="137"/>
      <c r="C16" s="122">
        <f>SUM(C7:C15)</f>
        <v>8288.5</v>
      </c>
    </row>
  </sheetData>
  <mergeCells count="2">
    <mergeCell ref="A2:C2"/>
    <mergeCell ref="A1:C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1"/>
  <sheetViews>
    <sheetView zoomScale="140" zoomScaleNormal="140" workbookViewId="0">
      <selection activeCell="B7" sqref="B7"/>
    </sheetView>
  </sheetViews>
  <sheetFormatPr defaultRowHeight="14.5" x14ac:dyDescent="0.35"/>
  <cols>
    <col min="1" max="1" width="27" customWidth="1"/>
    <col min="2" max="2" width="11.81640625" customWidth="1"/>
  </cols>
  <sheetData>
    <row r="1" spans="1:2" x14ac:dyDescent="0.35">
      <c r="A1" s="268" t="s">
        <v>114</v>
      </c>
      <c r="B1" s="303"/>
    </row>
    <row r="2" spans="1:2" ht="45" customHeight="1" x14ac:dyDescent="0.35">
      <c r="A2" s="300" t="s">
        <v>118</v>
      </c>
      <c r="B2" s="302"/>
    </row>
    <row r="3" spans="1:2" x14ac:dyDescent="0.35">
      <c r="A3" s="115"/>
      <c r="B3" s="116"/>
    </row>
    <row r="4" spans="1:2" x14ac:dyDescent="0.35">
      <c r="A4" s="115" t="s">
        <v>102</v>
      </c>
      <c r="B4" s="116" t="s">
        <v>103</v>
      </c>
    </row>
    <row r="5" spans="1:2" x14ac:dyDescent="0.35">
      <c r="A5" s="115" t="s">
        <v>115</v>
      </c>
      <c r="B5" s="129">
        <f>'Grazing Estimate'!B9</f>
        <v>45000</v>
      </c>
    </row>
    <row r="6" spans="1:2" x14ac:dyDescent="0.35">
      <c r="A6" s="115" t="s">
        <v>116</v>
      </c>
      <c r="B6" s="127"/>
    </row>
    <row r="7" spans="1:2" x14ac:dyDescent="0.35">
      <c r="A7" s="123" t="s">
        <v>178</v>
      </c>
      <c r="B7" s="129">
        <f>'Livestock Value'!J8</f>
        <v>20725</v>
      </c>
    </row>
    <row r="8" spans="1:2" x14ac:dyDescent="0.35">
      <c r="A8" s="123" t="s">
        <v>117</v>
      </c>
      <c r="B8" s="120">
        <v>0</v>
      </c>
    </row>
    <row r="9" spans="1:2" x14ac:dyDescent="0.35">
      <c r="A9" s="124" t="s">
        <v>119</v>
      </c>
      <c r="B9" s="120"/>
    </row>
    <row r="10" spans="1:2" ht="15" thickBot="1" x14ac:dyDescent="0.4">
      <c r="A10" s="125" t="s">
        <v>119</v>
      </c>
      <c r="B10" s="121"/>
    </row>
    <row r="11" spans="1:2" ht="15" thickBot="1" x14ac:dyDescent="0.4">
      <c r="A11" s="126" t="s">
        <v>120</v>
      </c>
      <c r="B11" s="122">
        <f>SUM(B5:B10)</f>
        <v>65725</v>
      </c>
    </row>
  </sheetData>
  <mergeCells count="2">
    <mergeCell ref="A1:B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9CE5C0CE84E848A2CFD743953EFFED" ma:contentTypeVersion="17" ma:contentTypeDescription="Create a new document." ma:contentTypeScope="" ma:versionID="21ee7300b945333da3a9d470bfe8f8c4">
  <xsd:schema xmlns:xsd="http://www.w3.org/2001/XMLSchema" xmlns:xs="http://www.w3.org/2001/XMLSchema" xmlns:p="http://schemas.microsoft.com/office/2006/metadata/properties" xmlns:ns3="1754e882-8f03-4ae7-a610-c605ed0ac515" xmlns:ns4="48aabbb9-b276-41a4-b210-185945194d04" targetNamespace="http://schemas.microsoft.com/office/2006/metadata/properties" ma:root="true" ma:fieldsID="99f56499cb598210b87df52400d075f8" ns3:_="" ns4:_="">
    <xsd:import namespace="1754e882-8f03-4ae7-a610-c605ed0ac515"/>
    <xsd:import namespace="48aabbb9-b276-41a4-b210-185945194d0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54e882-8f03-4ae7-a610-c605ed0ac51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aabbb9-b276-41a4-b210-185945194d0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8aabbb9-b276-41a4-b210-185945194d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043C87-7303-40E1-B123-1E3D9C407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54e882-8f03-4ae7-a610-c605ed0ac515"/>
    <ds:schemaRef ds:uri="48aabbb9-b276-41a4-b210-185945194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84E7BE-36BC-4BAC-8573-A95F0462F69C}">
  <ds:schemaRefs>
    <ds:schemaRef ds:uri="http://www.w3.org/XML/1998/namespace"/>
    <ds:schemaRef ds:uri="http://schemas.microsoft.com/office/2006/documentManagement/types"/>
    <ds:schemaRef ds:uri="http://purl.org/dc/terms/"/>
    <ds:schemaRef ds:uri="http://schemas.openxmlformats.org/package/2006/metadata/core-properties"/>
    <ds:schemaRef ds:uri="1754e882-8f03-4ae7-a610-c605ed0ac515"/>
    <ds:schemaRef ds:uri="http://purl.org/dc/elements/1.1/"/>
    <ds:schemaRef ds:uri="48aabbb9-b276-41a4-b210-185945194d04"/>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A1666F42-5C81-4DD6-8F84-E453BFDA68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Livestock Inventory</vt:lpstr>
      <vt:lpstr>Grazing Estimate</vt:lpstr>
      <vt:lpstr>Livestock Value</vt:lpstr>
      <vt:lpstr>Labor</vt:lpstr>
      <vt:lpstr>Cash Overhead</vt:lpstr>
      <vt:lpstr>Non-Cash Overhead</vt:lpstr>
      <vt:lpstr>Direct Costs</vt:lpstr>
      <vt:lpstr>Gross Revenue</vt:lpstr>
      <vt:lpstr>Profit Analysis</vt:lpstr>
      <vt:lpstr>Cash Flow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Macon</dc:creator>
  <cp:lastModifiedBy>Daniel Macon</cp:lastModifiedBy>
  <dcterms:created xsi:type="dcterms:W3CDTF">2019-04-30T23:09:09Z</dcterms:created>
  <dcterms:modified xsi:type="dcterms:W3CDTF">2024-08-16T22:04:21Z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0x010100ED9CE5C0CE84E848A2CFD743953EFFED</vt:lpwstr>
  </property>
</Properties>
</file>