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charts/chart7.xml" ContentType="application/vnd.openxmlformats-officedocument.drawingml.chart+xml"/>
  <Override PartName="/xl/charts/chart8.xml" ContentType="application/vnd.openxmlformats-officedocument.drawingml.chart+xml"/>
  <Override PartName="/xl/drawings/drawing15.xml" ContentType="application/vnd.openxmlformats-officedocument.drawingml.chartshapes+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C:\Users\16617\Mirror\Blake2\Pistachio\2022 Salt-Boron leaching with drip\Calculators\"/>
    </mc:Choice>
  </mc:AlternateContent>
  <xr:revisionPtr revIDLastSave="0" documentId="13_ncr:1_{9B7795D1-9F84-4DFE-A4B2-A7971B380698}" xr6:coauthVersionLast="47" xr6:coauthVersionMax="47" xr10:uidLastSave="{00000000-0000-0000-0000-000000000000}"/>
  <bookViews>
    <workbookView xWindow="-120" yWindow="-120" windowWidth="29040" windowHeight="15840" tabRatio="658" firstSheet="4" activeTab="4" xr2:uid="{00000000-000D-0000-FFFF-FFFF00000000}"/>
  </bookViews>
  <sheets>
    <sheet name="Infiltration Chart" sheetId="2" r:id="rId1"/>
    <sheet name="Conversions-SAR" sheetId="1" r:id="rId2"/>
    <sheet name="Calcium Amendment Equivalence-$" sheetId="11" r:id="rId3"/>
    <sheet name="Leaching Calcs" sheetId="4" r:id="rId4"/>
    <sheet name="SALINITY TRIAL EXAMPLE" sheetId="13" r:id="rId5"/>
    <sheet name="SALINITY RUNTIME EXAMPLE" sheetId="14" r:id="rId6"/>
    <sheet name="Final Rootzone ECe by LF" sheetId="5" r:id="rId7"/>
    <sheet name="Needed Leaching Fraction" sheetId="8" r:id="rId8"/>
    <sheet name="Boron Leaching" sheetId="12" r:id="rId9"/>
    <sheet name="Several LF Calcs for deep perc" sheetId="10" r:id="rId10"/>
    <sheet name="FAO29 Lchng Sectn" sheetId="7" r:id="rId11"/>
    <sheet name="Example Waters" sheetId="6" r:id="rId12"/>
  </sheets>
  <externalReferences>
    <externalReference r:id="rId13"/>
  </externalReferences>
  <definedNames>
    <definedName name="cr_reporttemp_tissue">#REF!</definedName>
    <definedName name="LabNOSampleNo">'[1]URS Corp'!#REF!</definedName>
    <definedName name="LabNOSampleNoC">'[1]URS Corp'!#REF!</definedName>
    <definedName name="_xlnm.Print_Area" localSheetId="6">'Final Rootzone ECe by LF'!$A$2:$J$24</definedName>
    <definedName name="_xlnm.Print_Area" localSheetId="3">'Leaching Calcs'!$A$1:$O$46</definedName>
    <definedName name="_xlnm.Print_Area" localSheetId="7">'Needed Leaching Fraction'!$A$2:$J$24</definedName>
    <definedName name="_xlnm.Print_Area" localSheetId="4">'SALINITY TRIAL EXAMPLE'!$A$1:$O$46</definedName>
    <definedName name="_xlnm.Print_Area" localSheetId="9">'Several LF Calcs for deep perc'!$A$95:$J$116</definedName>
    <definedName name="unknow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6" i="14" l="1"/>
  <c r="V26" i="14"/>
  <c r="U26" i="14"/>
  <c r="T26" i="14"/>
  <c r="G40" i="14"/>
  <c r="H40" i="14" s="1"/>
  <c r="I40" i="14" s="1"/>
  <c r="G37" i="14"/>
  <c r="P34" i="14"/>
  <c r="P33" i="14"/>
  <c r="P32" i="14"/>
  <c r="P31" i="14"/>
  <c r="P30" i="14"/>
  <c r="P29" i="14"/>
  <c r="P28" i="14"/>
  <c r="P27" i="14"/>
  <c r="P26" i="14"/>
  <c r="P25" i="14"/>
  <c r="P24" i="14"/>
  <c r="H20" i="14"/>
  <c r="G19" i="14"/>
  <c r="G16" i="14"/>
  <c r="P13" i="14"/>
  <c r="P12" i="14"/>
  <c r="P11" i="14"/>
  <c r="P10" i="14"/>
  <c r="P9" i="14"/>
  <c r="P8" i="14"/>
  <c r="P7" i="14"/>
  <c r="P6" i="14"/>
  <c r="P5" i="14"/>
  <c r="P4" i="14"/>
  <c r="P3" i="14"/>
  <c r="F46" i="13"/>
  <c r="E46" i="13"/>
  <c r="D46" i="13"/>
  <c r="F45" i="13"/>
  <c r="E45" i="13"/>
  <c r="D45" i="13"/>
  <c r="F44" i="13"/>
  <c r="E44" i="13"/>
  <c r="D44" i="13"/>
  <c r="C44" i="13"/>
  <c r="M20" i="13"/>
  <c r="N20" i="13" s="1"/>
  <c r="O20" i="13" s="1"/>
  <c r="I20" i="13"/>
  <c r="J20" i="13" s="1"/>
  <c r="K20" i="13" s="1"/>
  <c r="M19" i="13"/>
  <c r="N19" i="13" s="1"/>
  <c r="O19" i="13" s="1"/>
  <c r="I19" i="13"/>
  <c r="J19" i="13" s="1"/>
  <c r="K19" i="13" s="1"/>
  <c r="M18" i="13"/>
  <c r="N18" i="13" s="1"/>
  <c r="O18" i="13" s="1"/>
  <c r="I18" i="13"/>
  <c r="J18" i="13" s="1"/>
  <c r="K18" i="13" s="1"/>
  <c r="S11" i="13"/>
  <c r="U11" i="13" s="1"/>
  <c r="N11" i="13"/>
  <c r="O11" i="13" s="1"/>
  <c r="M11" i="13"/>
  <c r="I11" i="13"/>
  <c r="J11" i="13" s="1"/>
  <c r="K11" i="13" s="1"/>
  <c r="U10" i="13"/>
  <c r="T10" i="13"/>
  <c r="N10" i="13"/>
  <c r="O10" i="13" s="1"/>
  <c r="M10" i="13"/>
  <c r="I10" i="13"/>
  <c r="J10" i="13" s="1"/>
  <c r="K10" i="13" s="1"/>
  <c r="T9" i="13"/>
  <c r="M9" i="13"/>
  <c r="N9" i="13" s="1"/>
  <c r="O9" i="13" s="1"/>
  <c r="I9" i="13"/>
  <c r="J9" i="13" s="1"/>
  <c r="K9" i="13" s="1"/>
  <c r="U7" i="5"/>
  <c r="T7" i="5"/>
  <c r="V3" i="5"/>
  <c r="H41" i="14" l="1"/>
  <c r="H19" i="14"/>
  <c r="I19" i="14" s="1"/>
  <c r="O21" i="13"/>
  <c r="O12" i="13"/>
  <c r="S12" i="13"/>
  <c r="T11" i="13"/>
  <c r="S11" i="4"/>
  <c r="S12" i="4" s="1"/>
  <c r="P118" i="10"/>
  <c r="P117" i="10"/>
  <c r="Q117" i="10"/>
  <c r="R117" i="10" s="1"/>
  <c r="Q118" i="10"/>
  <c r="R118" i="10" s="1"/>
  <c r="D68" i="10"/>
  <c r="D69" i="10"/>
  <c r="C69" i="10"/>
  <c r="C70" i="10"/>
  <c r="C68" i="10"/>
  <c r="F27" i="12"/>
  <c r="E27" i="12"/>
  <c r="D27" i="12"/>
  <c r="C27" i="12"/>
  <c r="F26" i="12"/>
  <c r="E26" i="12"/>
  <c r="D26" i="12"/>
  <c r="C26" i="12"/>
  <c r="F25" i="12"/>
  <c r="E25" i="12"/>
  <c r="D25" i="12"/>
  <c r="C25" i="12"/>
  <c r="F24" i="12"/>
  <c r="E24" i="12"/>
  <c r="D24" i="12"/>
  <c r="C24" i="12"/>
  <c r="F23" i="12"/>
  <c r="E23" i="12"/>
  <c r="D23" i="12"/>
  <c r="C23" i="12"/>
  <c r="E22" i="12"/>
  <c r="D22" i="12"/>
  <c r="C22" i="12"/>
  <c r="D21" i="12"/>
  <c r="C21" i="12"/>
  <c r="K6" i="12"/>
  <c r="K7" i="12"/>
  <c r="K8" i="12"/>
  <c r="K9" i="12"/>
  <c r="K10" i="12"/>
  <c r="K11" i="12"/>
  <c r="K12" i="12"/>
  <c r="K5" i="12"/>
  <c r="T9" i="4"/>
  <c r="T10" i="4"/>
  <c r="T11" i="4"/>
  <c r="F46" i="4"/>
  <c r="E46" i="4"/>
  <c r="D46" i="4"/>
  <c r="F45" i="4"/>
  <c r="E45" i="4"/>
  <c r="D45" i="4"/>
  <c r="F44" i="4"/>
  <c r="E44" i="4"/>
  <c r="D44" i="4"/>
  <c r="C44" i="4"/>
  <c r="T15" i="11"/>
  <c r="U15" i="11"/>
  <c r="V14" i="11"/>
  <c r="X14" i="11"/>
  <c r="W14" i="11"/>
  <c r="U14" i="11"/>
  <c r="V13" i="11"/>
  <c r="W13" i="11"/>
  <c r="X13" i="11"/>
  <c r="Y13" i="11"/>
  <c r="U13" i="11"/>
  <c r="T12" i="11"/>
  <c r="U12" i="11" s="1"/>
  <c r="T11" i="11"/>
  <c r="U11" i="11" s="1"/>
  <c r="T10" i="11"/>
  <c r="T9" i="11"/>
  <c r="T8" i="11"/>
  <c r="V8" i="11" s="1"/>
  <c r="U8" i="11"/>
  <c r="T7" i="11"/>
  <c r="U7" i="11"/>
  <c r="T6" i="11"/>
  <c r="U6" i="11"/>
  <c r="T5" i="11"/>
  <c r="P115" i="10"/>
  <c r="T115" i="10" s="1"/>
  <c r="U115" i="10" s="1"/>
  <c r="V115" i="10" s="1"/>
  <c r="P114" i="10"/>
  <c r="T114" i="10" s="1"/>
  <c r="U114" i="10" s="1"/>
  <c r="V114" i="10" s="1"/>
  <c r="P113" i="10"/>
  <c r="T113" i="10"/>
  <c r="U113" i="10" s="1"/>
  <c r="V113" i="10" s="1"/>
  <c r="P112" i="10"/>
  <c r="Q112" i="10"/>
  <c r="R112" i="10" s="1"/>
  <c r="S112" i="10" s="1"/>
  <c r="T112" i="10"/>
  <c r="U112" i="10"/>
  <c r="V112" i="10" s="1"/>
  <c r="P111" i="10"/>
  <c r="T111" i="10" s="1"/>
  <c r="U111" i="10" s="1"/>
  <c r="V111" i="10" s="1"/>
  <c r="P110" i="10"/>
  <c r="T110" i="10" s="1"/>
  <c r="U110" i="10" s="1"/>
  <c r="V110" i="10" s="1"/>
  <c r="P109" i="10"/>
  <c r="T109" i="10" s="1"/>
  <c r="U109" i="10" s="1"/>
  <c r="V109" i="10" s="1"/>
  <c r="P108" i="10"/>
  <c r="Q108" i="10" s="1"/>
  <c r="R108" i="10" s="1"/>
  <c r="S108" i="10" s="1"/>
  <c r="P107" i="10"/>
  <c r="T107" i="10"/>
  <c r="U107" i="10" s="1"/>
  <c r="V107" i="10" s="1"/>
  <c r="P106" i="10"/>
  <c r="T106" i="10"/>
  <c r="U106" i="10" s="1"/>
  <c r="V106" i="10" s="1"/>
  <c r="P105" i="10"/>
  <c r="Q105" i="10"/>
  <c r="R105" i="10" s="1"/>
  <c r="S105" i="10" s="1"/>
  <c r="T105" i="10"/>
  <c r="U105" i="10"/>
  <c r="V105" i="10" s="1"/>
  <c r="P104" i="10"/>
  <c r="Q104" i="10" s="1"/>
  <c r="R104" i="10" s="1"/>
  <c r="S104" i="10" s="1"/>
  <c r="T104" i="10"/>
  <c r="U104" i="10" s="1"/>
  <c r="V104" i="10" s="1"/>
  <c r="P103" i="10"/>
  <c r="T103" i="10"/>
  <c r="U103" i="10" s="1"/>
  <c r="V103" i="10" s="1"/>
  <c r="P102" i="10"/>
  <c r="T102" i="10"/>
  <c r="U102" i="10" s="1"/>
  <c r="V102" i="10" s="1"/>
  <c r="P101" i="10"/>
  <c r="Q101" i="10"/>
  <c r="T101" i="10"/>
  <c r="U101" i="10"/>
  <c r="V101" i="10" s="1"/>
  <c r="P100" i="10"/>
  <c r="Q100" i="10" s="1"/>
  <c r="R100" i="10" s="1"/>
  <c r="S100" i="10" s="1"/>
  <c r="T100" i="10"/>
  <c r="U100" i="10" s="1"/>
  <c r="V100" i="10" s="1"/>
  <c r="Q102" i="10"/>
  <c r="R102" i="10"/>
  <c r="S102" i="10" s="1"/>
  <c r="Q115" i="10"/>
  <c r="R115" i="10" s="1"/>
  <c r="S115" i="10" s="1"/>
  <c r="Q113" i="10"/>
  <c r="R113" i="10"/>
  <c r="S113" i="10" s="1"/>
  <c r="Q111" i="10"/>
  <c r="R111" i="10" s="1"/>
  <c r="S111" i="10" s="1"/>
  <c r="Q109" i="10"/>
  <c r="R109" i="10" s="1"/>
  <c r="S109" i="10" s="1"/>
  <c r="Q107" i="10"/>
  <c r="R107" i="10"/>
  <c r="S107" i="10" s="1"/>
  <c r="N150" i="10"/>
  <c r="O150" i="10" s="1"/>
  <c r="P150" i="10" s="1"/>
  <c r="N149" i="10"/>
  <c r="N148" i="10"/>
  <c r="O148" i="10" s="1"/>
  <c r="P148" i="10" s="1"/>
  <c r="N147" i="10"/>
  <c r="O147" i="10"/>
  <c r="P147" i="10" s="1"/>
  <c r="N146" i="10"/>
  <c r="O146" i="10" s="1"/>
  <c r="P146" i="10" s="1"/>
  <c r="N145" i="10"/>
  <c r="N144" i="10"/>
  <c r="O144" i="10" s="1"/>
  <c r="P144" i="10" s="1"/>
  <c r="N143" i="10"/>
  <c r="N142" i="10"/>
  <c r="N141" i="10"/>
  <c r="N140" i="10"/>
  <c r="O140" i="10"/>
  <c r="P140" i="10" s="1"/>
  <c r="N139" i="10"/>
  <c r="O139" i="10" s="1"/>
  <c r="P139" i="10" s="1"/>
  <c r="N138" i="10"/>
  <c r="N137" i="10"/>
  <c r="N136" i="10"/>
  <c r="O136" i="10"/>
  <c r="P136" i="10" s="1"/>
  <c r="N135" i="10"/>
  <c r="O135" i="10" s="1"/>
  <c r="P135" i="10" s="1"/>
  <c r="N82" i="10"/>
  <c r="R82" i="10"/>
  <c r="S82" i="10" s="1"/>
  <c r="T82" i="10" s="1"/>
  <c r="N81" i="10"/>
  <c r="R81" i="10"/>
  <c r="S81" i="10" s="1"/>
  <c r="T81" i="10" s="1"/>
  <c r="N80" i="10"/>
  <c r="R80" i="10"/>
  <c r="S80" i="10" s="1"/>
  <c r="T80" i="10" s="1"/>
  <c r="N79" i="10"/>
  <c r="R79" i="10"/>
  <c r="S79" i="10" s="1"/>
  <c r="T79" i="10" s="1"/>
  <c r="N78" i="10"/>
  <c r="R78" i="10"/>
  <c r="S78" i="10" s="1"/>
  <c r="T78" i="10" s="1"/>
  <c r="N77" i="10"/>
  <c r="R77" i="10"/>
  <c r="S77" i="10" s="1"/>
  <c r="T77" i="10" s="1"/>
  <c r="N76" i="10"/>
  <c r="R76" i="10"/>
  <c r="S76" i="10" s="1"/>
  <c r="T76" i="10" s="1"/>
  <c r="N75" i="10"/>
  <c r="R75" i="10"/>
  <c r="S75" i="10" s="1"/>
  <c r="T75" i="10" s="1"/>
  <c r="N74" i="10"/>
  <c r="R74" i="10"/>
  <c r="S74" i="10" s="1"/>
  <c r="T74" i="10" s="1"/>
  <c r="N73" i="10"/>
  <c r="R73" i="10"/>
  <c r="S73" i="10" s="1"/>
  <c r="T73" i="10" s="1"/>
  <c r="N72" i="10"/>
  <c r="R72" i="10"/>
  <c r="S72" i="10" s="1"/>
  <c r="T72" i="10" s="1"/>
  <c r="N71" i="10"/>
  <c r="R71" i="10"/>
  <c r="S71" i="10" s="1"/>
  <c r="T71" i="10" s="1"/>
  <c r="N70" i="10"/>
  <c r="R70" i="10"/>
  <c r="S70" i="10" s="1"/>
  <c r="T70" i="10" s="1"/>
  <c r="N69" i="10"/>
  <c r="R69" i="10"/>
  <c r="S69" i="10" s="1"/>
  <c r="T69" i="10" s="1"/>
  <c r="N68" i="10"/>
  <c r="R68" i="10"/>
  <c r="S68" i="10" s="1"/>
  <c r="T68" i="10" s="1"/>
  <c r="N67" i="10"/>
  <c r="R67" i="10"/>
  <c r="S67" i="10" s="1"/>
  <c r="T67" i="10" s="1"/>
  <c r="O82" i="10"/>
  <c r="P82" i="10"/>
  <c r="Q82" i="10" s="1"/>
  <c r="O81" i="10"/>
  <c r="P81" i="10" s="1"/>
  <c r="Q81" i="10" s="1"/>
  <c r="O80" i="10"/>
  <c r="P80" i="10"/>
  <c r="Q80" i="10" s="1"/>
  <c r="O79" i="10"/>
  <c r="P79" i="10" s="1"/>
  <c r="Q79" i="10" s="1"/>
  <c r="O78" i="10"/>
  <c r="P78" i="10"/>
  <c r="Q78" i="10" s="1"/>
  <c r="O77" i="10"/>
  <c r="P77" i="10" s="1"/>
  <c r="Q77" i="10" s="1"/>
  <c r="O76" i="10"/>
  <c r="P76" i="10"/>
  <c r="Q76" i="10" s="1"/>
  <c r="O75" i="10"/>
  <c r="P75" i="10" s="1"/>
  <c r="Q75" i="10" s="1"/>
  <c r="O74" i="10"/>
  <c r="P74" i="10"/>
  <c r="Q74" i="10" s="1"/>
  <c r="O73" i="10"/>
  <c r="P73" i="10" s="1"/>
  <c r="Q73" i="10" s="1"/>
  <c r="O72" i="10"/>
  <c r="P72" i="10"/>
  <c r="Q72" i="10" s="1"/>
  <c r="O71" i="10"/>
  <c r="P71" i="10" s="1"/>
  <c r="Q71" i="10" s="1"/>
  <c r="O70" i="10"/>
  <c r="P70" i="10"/>
  <c r="Q70" i="10" s="1"/>
  <c r="O69" i="10"/>
  <c r="P69" i="10" s="1"/>
  <c r="Q69" i="10" s="1"/>
  <c r="O68" i="10"/>
  <c r="P68" i="10"/>
  <c r="Q68" i="10" s="1"/>
  <c r="O67" i="10"/>
  <c r="P67" i="10" s="1"/>
  <c r="Q67" i="10" s="1"/>
  <c r="M5" i="8"/>
  <c r="O42" i="10"/>
  <c r="P42" i="10" s="1"/>
  <c r="Q42" i="10" s="1"/>
  <c r="O41" i="10"/>
  <c r="P41" i="10"/>
  <c r="Q41" i="10" s="1"/>
  <c r="O40" i="10"/>
  <c r="P40" i="10" s="1"/>
  <c r="Q40" i="10" s="1"/>
  <c r="O39" i="10"/>
  <c r="P39" i="10"/>
  <c r="Q39" i="10" s="1"/>
  <c r="O38" i="10"/>
  <c r="P38" i="10" s="1"/>
  <c r="Q38" i="10" s="1"/>
  <c r="O37" i="10"/>
  <c r="P37" i="10"/>
  <c r="Q37" i="10" s="1"/>
  <c r="O36" i="10"/>
  <c r="P36" i="10" s="1"/>
  <c r="Q36" i="10" s="1"/>
  <c r="O35" i="10"/>
  <c r="P35" i="10"/>
  <c r="Q35" i="10" s="1"/>
  <c r="O34" i="10"/>
  <c r="P34" i="10" s="1"/>
  <c r="Q34" i="10" s="1"/>
  <c r="O33" i="10"/>
  <c r="P33" i="10"/>
  <c r="Q33" i="10" s="1"/>
  <c r="O32" i="10"/>
  <c r="P32" i="10" s="1"/>
  <c r="Q32" i="10" s="1"/>
  <c r="O31" i="10"/>
  <c r="P31" i="10"/>
  <c r="Q31" i="10" s="1"/>
  <c r="O30" i="10"/>
  <c r="P30" i="10" s="1"/>
  <c r="Q30" i="10" s="1"/>
  <c r="O29" i="10"/>
  <c r="P29" i="10"/>
  <c r="Q29" i="10" s="1"/>
  <c r="O28" i="10"/>
  <c r="P28" i="10" s="1"/>
  <c r="Q28" i="10" s="1"/>
  <c r="O27" i="10"/>
  <c r="P27" i="10"/>
  <c r="Q27" i="10" s="1"/>
  <c r="B71" i="10"/>
  <c r="C71" i="10" s="1"/>
  <c r="D70" i="10"/>
  <c r="N42" i="10"/>
  <c r="N41" i="10"/>
  <c r="N40" i="10"/>
  <c r="N39" i="10"/>
  <c r="N38" i="10"/>
  <c r="N37" i="10"/>
  <c r="N36" i="10"/>
  <c r="N35" i="10"/>
  <c r="N28" i="10"/>
  <c r="N29" i="10"/>
  <c r="N30" i="10"/>
  <c r="N31" i="10"/>
  <c r="N32" i="10"/>
  <c r="N33" i="10"/>
  <c r="N34" i="10"/>
  <c r="N27" i="10"/>
  <c r="V132" i="10"/>
  <c r="V135" i="10"/>
  <c r="R134" i="10"/>
  <c r="Q136" i="10"/>
  <c r="R137" i="10"/>
  <c r="Q141" i="10"/>
  <c r="Q140" i="10"/>
  <c r="Q139" i="10"/>
  <c r="Q138" i="10"/>
  <c r="Q137" i="10"/>
  <c r="S138" i="10"/>
  <c r="T142" i="10"/>
  <c r="O149" i="10"/>
  <c r="P149" i="10"/>
  <c r="O145" i="10"/>
  <c r="P145" i="10"/>
  <c r="O143" i="10"/>
  <c r="P143" i="10" s="1"/>
  <c r="U10" i="4"/>
  <c r="M10" i="4"/>
  <c r="N10" i="4" s="1"/>
  <c r="O10" i="4"/>
  <c r="M11" i="4"/>
  <c r="N11" i="4" s="1"/>
  <c r="M9" i="4"/>
  <c r="N9" i="4" s="1"/>
  <c r="O9" i="4" s="1"/>
  <c r="O12" i="4" s="1"/>
  <c r="N4" i="5"/>
  <c r="O4" i="5"/>
  <c r="P4" i="5"/>
  <c r="Q4" i="5"/>
  <c r="L5" i="5"/>
  <c r="N5" i="5" s="1"/>
  <c r="M4" i="5"/>
  <c r="N5" i="8"/>
  <c r="O5" i="8"/>
  <c r="L5" i="8"/>
  <c r="L4" i="8"/>
  <c r="B100" i="10"/>
  <c r="D100" i="10" s="1"/>
  <c r="C100" i="10"/>
  <c r="E100" i="10" s="1"/>
  <c r="B101" i="10"/>
  <c r="D101" i="10" s="1"/>
  <c r="C101" i="10"/>
  <c r="E101" i="10"/>
  <c r="B102" i="10"/>
  <c r="D102" i="10" s="1"/>
  <c r="C102" i="10"/>
  <c r="E102" i="10" s="1"/>
  <c r="B103" i="10"/>
  <c r="D103" i="10" s="1"/>
  <c r="C103" i="10"/>
  <c r="E103" i="10"/>
  <c r="B104" i="10"/>
  <c r="D104" i="10" s="1"/>
  <c r="C104" i="10"/>
  <c r="E104" i="10" s="1"/>
  <c r="B105" i="10"/>
  <c r="D105" i="10" s="1"/>
  <c r="C105" i="10"/>
  <c r="E105" i="10"/>
  <c r="B106" i="10"/>
  <c r="D106" i="10" s="1"/>
  <c r="C106" i="10"/>
  <c r="E106" i="10" s="1"/>
  <c r="B107" i="10"/>
  <c r="D107" i="10" s="1"/>
  <c r="C107" i="10"/>
  <c r="E107" i="10"/>
  <c r="B108" i="10"/>
  <c r="D108" i="10" s="1"/>
  <c r="C108" i="10"/>
  <c r="E108" i="10" s="1"/>
  <c r="B109" i="10"/>
  <c r="D109" i="10" s="1"/>
  <c r="C109" i="10"/>
  <c r="E109" i="10"/>
  <c r="B110" i="10"/>
  <c r="D110" i="10" s="1"/>
  <c r="C110" i="10"/>
  <c r="E110" i="10" s="1"/>
  <c r="M18" i="4"/>
  <c r="N18" i="4" s="1"/>
  <c r="O18" i="4" s="1"/>
  <c r="M19" i="4"/>
  <c r="N19" i="4" s="1"/>
  <c r="O19" i="4" s="1"/>
  <c r="M20" i="4"/>
  <c r="I20" i="4"/>
  <c r="J20" i="4" s="1"/>
  <c r="K20" i="4" s="1"/>
  <c r="I19" i="4"/>
  <c r="J19" i="4" s="1"/>
  <c r="K19" i="4" s="1"/>
  <c r="I18" i="4"/>
  <c r="J18" i="4" s="1"/>
  <c r="K18" i="4" s="1"/>
  <c r="O11" i="4"/>
  <c r="I11" i="4"/>
  <c r="J11" i="4"/>
  <c r="K11" i="4" s="1"/>
  <c r="I10" i="4"/>
  <c r="J10" i="4"/>
  <c r="K10" i="4" s="1"/>
  <c r="I9" i="4"/>
  <c r="J9" i="4" s="1"/>
  <c r="K9" i="4" s="1"/>
  <c r="B18" i="5"/>
  <c r="B17" i="5"/>
  <c r="B16" i="5"/>
  <c r="B15" i="5"/>
  <c r="B14" i="5"/>
  <c r="B13" i="5"/>
  <c r="B12" i="5"/>
  <c r="B11" i="5"/>
  <c r="B10" i="5"/>
  <c r="B9" i="5"/>
  <c r="B8" i="5"/>
  <c r="B9" i="8"/>
  <c r="B10" i="8"/>
  <c r="B11" i="8"/>
  <c r="B12" i="8"/>
  <c r="B13" i="8"/>
  <c r="B14" i="8"/>
  <c r="B15" i="8"/>
  <c r="B16" i="8"/>
  <c r="B17" i="8"/>
  <c r="B18" i="8"/>
  <c r="B8" i="8"/>
  <c r="K6" i="8"/>
  <c r="P6" i="8"/>
  <c r="Q22" i="6"/>
  <c r="Q23" i="6"/>
  <c r="Q24" i="6"/>
  <c r="Q17" i="6"/>
  <c r="Q25" i="6"/>
  <c r="Q26" i="6"/>
  <c r="Q18" i="6"/>
  <c r="Q19" i="6"/>
  <c r="Q20" i="6"/>
  <c r="Q21" i="6"/>
  <c r="Q40" i="6"/>
  <c r="P40" i="6"/>
  <c r="Q39" i="6"/>
  <c r="P39" i="6"/>
  <c r="Q38" i="6"/>
  <c r="P38" i="6"/>
  <c r="Q37" i="6"/>
  <c r="P37" i="6"/>
  <c r="Q36" i="6"/>
  <c r="P36" i="6"/>
  <c r="Q35" i="6"/>
  <c r="P35" i="6"/>
  <c r="Q34" i="6"/>
  <c r="P34" i="6"/>
  <c r="Q33" i="6"/>
  <c r="P33" i="6"/>
  <c r="Q32" i="6"/>
  <c r="P32" i="6"/>
  <c r="Q31" i="6"/>
  <c r="P31" i="6"/>
  <c r="P22" i="6"/>
  <c r="P20" i="6"/>
  <c r="P19" i="6"/>
  <c r="P18" i="6"/>
  <c r="P26" i="6"/>
  <c r="P25" i="6"/>
  <c r="P17" i="6"/>
  <c r="T19" i="6"/>
  <c r="P24" i="6"/>
  <c r="P23" i="6"/>
  <c r="T17" i="6"/>
  <c r="P21" i="6"/>
  <c r="L12" i="1"/>
  <c r="K12" i="1"/>
  <c r="L11" i="1"/>
  <c r="K11" i="1"/>
  <c r="C13" i="1"/>
  <c r="C12" i="1"/>
  <c r="C11" i="1"/>
  <c r="A11" i="1"/>
  <c r="M13" i="1"/>
  <c r="L13" i="1"/>
  <c r="M12" i="1"/>
  <c r="M11" i="1"/>
  <c r="K13" i="1"/>
  <c r="J11" i="1"/>
  <c r="I11" i="1"/>
  <c r="H11" i="1"/>
  <c r="F11" i="1"/>
  <c r="D11" i="1"/>
  <c r="E11" i="1"/>
  <c r="B11" i="1"/>
  <c r="B12" i="1"/>
  <c r="B13" i="1"/>
  <c r="F12" i="1"/>
  <c r="G12" i="1" s="1"/>
  <c r="D12" i="1"/>
  <c r="E12" i="1"/>
  <c r="F13" i="1"/>
  <c r="G13" i="1"/>
  <c r="D13" i="1"/>
  <c r="E13" i="1"/>
  <c r="J13" i="1"/>
  <c r="I13" i="1"/>
  <c r="H13" i="1"/>
  <c r="J12" i="1"/>
  <c r="I12" i="1"/>
  <c r="H12" i="1"/>
  <c r="O142" i="10"/>
  <c r="P142" i="10"/>
  <c r="O141" i="10"/>
  <c r="P141" i="10" s="1"/>
  <c r="O138" i="10"/>
  <c r="P138" i="10" s="1"/>
  <c r="O137" i="10"/>
  <c r="P137" i="10"/>
  <c r="V6" i="11"/>
  <c r="V7" i="11"/>
  <c r="W7" i="11"/>
  <c r="V12" i="11"/>
  <c r="X12" i="11"/>
  <c r="Y12" i="11" s="1"/>
  <c r="Y14" i="11"/>
  <c r="V15" i="11"/>
  <c r="X15" i="11" s="1"/>
  <c r="Y15" i="11" s="1"/>
  <c r="K7" i="8"/>
  <c r="O6" i="8"/>
  <c r="Q6" i="8"/>
  <c r="L6" i="8"/>
  <c r="N6" i="8"/>
  <c r="Q135" i="10"/>
  <c r="Q103" i="10"/>
  <c r="R103" i="10"/>
  <c r="S103" i="10" s="1"/>
  <c r="R101" i="10"/>
  <c r="S101" i="10"/>
  <c r="W12" i="11"/>
  <c r="L7" i="8"/>
  <c r="P7" i="8"/>
  <c r="R7" i="8"/>
  <c r="U10" i="11"/>
  <c r="V10" i="11"/>
  <c r="W10" i="11" s="1"/>
  <c r="X7" i="11"/>
  <c r="Y7" i="11" s="1"/>
  <c r="X6" i="11"/>
  <c r="Y6" i="11" s="1"/>
  <c r="W6" i="11"/>
  <c r="U5" i="11"/>
  <c r="V5" i="11"/>
  <c r="Q7" i="8"/>
  <c r="N7" i="8"/>
  <c r="M7" i="8"/>
  <c r="K8" i="8"/>
  <c r="S134" i="10"/>
  <c r="S136" i="10" s="1"/>
  <c r="R136" i="10"/>
  <c r="D71" i="10"/>
  <c r="O7" i="8"/>
  <c r="R135" i="10"/>
  <c r="Q106" i="10"/>
  <c r="R106" i="10"/>
  <c r="S106" i="10"/>
  <c r="U9" i="11"/>
  <c r="V9" i="11"/>
  <c r="W9" i="11" s="1"/>
  <c r="G11" i="1"/>
  <c r="M6" i="8"/>
  <c r="R6" i="8"/>
  <c r="U11" i="4"/>
  <c r="X5" i="11"/>
  <c r="Y5" i="11" s="1"/>
  <c r="W5" i="11"/>
  <c r="N8" i="8"/>
  <c r="K9" i="8"/>
  <c r="R9" i="8" s="1"/>
  <c r="P8" i="8"/>
  <c r="M8" i="8"/>
  <c r="Q8" i="8"/>
  <c r="O8" i="8"/>
  <c r="R8" i="8"/>
  <c r="S135" i="10"/>
  <c r="P9" i="8"/>
  <c r="O9" i="8"/>
  <c r="K10" i="8"/>
  <c r="K11" i="8" s="1"/>
  <c r="N9" i="8"/>
  <c r="S13" i="13" l="1"/>
  <c r="U12" i="13"/>
  <c r="T12" i="13"/>
  <c r="W8" i="11"/>
  <c r="X8" i="11"/>
  <c r="Y8" i="11" s="1"/>
  <c r="Q11" i="8"/>
  <c r="N11" i="8"/>
  <c r="P11" i="8"/>
  <c r="O11" i="8"/>
  <c r="K12" i="8"/>
  <c r="R11" i="8"/>
  <c r="T12" i="4"/>
  <c r="S13" i="4"/>
  <c r="Q10" i="8"/>
  <c r="M10" i="8"/>
  <c r="X10" i="11"/>
  <c r="Y10" i="11" s="1"/>
  <c r="Q110" i="10"/>
  <c r="R110" i="10" s="1"/>
  <c r="S110" i="10" s="1"/>
  <c r="R10" i="8"/>
  <c r="Q114" i="10"/>
  <c r="R114" i="10" s="1"/>
  <c r="S114" i="10" s="1"/>
  <c r="P10" i="8"/>
  <c r="P5" i="5"/>
  <c r="B72" i="10"/>
  <c r="M9" i="8"/>
  <c r="T134" i="10"/>
  <c r="W15" i="11"/>
  <c r="L6" i="5"/>
  <c r="M5" i="5"/>
  <c r="Q5" i="5"/>
  <c r="N10" i="8"/>
  <c r="Q9" i="8"/>
  <c r="X9" i="11"/>
  <c r="Y9" i="11" s="1"/>
  <c r="V11" i="11"/>
  <c r="O5" i="5"/>
  <c r="T108" i="10"/>
  <c r="U108" i="10" s="1"/>
  <c r="V108" i="10" s="1"/>
  <c r="O10" i="8"/>
  <c r="N20" i="4"/>
  <c r="O20" i="4" s="1"/>
  <c r="O21" i="4"/>
  <c r="U12" i="4"/>
  <c r="U13" i="13" l="1"/>
  <c r="T13" i="13"/>
  <c r="S14" i="13"/>
  <c r="Q6" i="5"/>
  <c r="M6" i="5"/>
  <c r="O6" i="5"/>
  <c r="P6" i="5"/>
  <c r="N6" i="5"/>
  <c r="L7" i="5"/>
  <c r="R12" i="8"/>
  <c r="P12" i="8"/>
  <c r="K13" i="8"/>
  <c r="N12" i="8"/>
  <c r="O12" i="8"/>
  <c r="Q12" i="8"/>
  <c r="U134" i="10"/>
  <c r="T135" i="10"/>
  <c r="T136" i="10"/>
  <c r="D72" i="10"/>
  <c r="C72" i="10"/>
  <c r="B73" i="10"/>
  <c r="T13" i="4"/>
  <c r="U13" i="4"/>
  <c r="S14" i="4"/>
  <c r="S15" i="4" s="1"/>
  <c r="S16" i="4" s="1"/>
  <c r="S17" i="4" s="1"/>
  <c r="W11" i="11"/>
  <c r="X11" i="11"/>
  <c r="Y11" i="11" s="1"/>
  <c r="U14" i="4"/>
  <c r="S15" i="13" l="1"/>
  <c r="U14" i="13"/>
  <c r="T14" i="13"/>
  <c r="N7" i="5"/>
  <c r="O7" i="5"/>
  <c r="P7" i="5"/>
  <c r="L8" i="5"/>
  <c r="M7" i="5"/>
  <c r="Q7" i="5"/>
  <c r="U136" i="10"/>
  <c r="U135" i="10"/>
  <c r="D73" i="10"/>
  <c r="B74" i="10"/>
  <c r="C73" i="10"/>
  <c r="T14" i="4"/>
  <c r="Q13" i="8"/>
  <c r="P13" i="8"/>
  <c r="N13" i="8"/>
  <c r="K14" i="8"/>
  <c r="R13" i="8"/>
  <c r="O13" i="8"/>
  <c r="U15" i="4"/>
  <c r="T15" i="4"/>
  <c r="U15" i="13" l="1"/>
  <c r="S16" i="13"/>
  <c r="T15" i="13"/>
  <c r="R14" i="8"/>
  <c r="P14" i="8"/>
  <c r="K15" i="8"/>
  <c r="Q14" i="8"/>
  <c r="O14" i="8"/>
  <c r="O8" i="5"/>
  <c r="Q8" i="5"/>
  <c r="N8" i="5"/>
  <c r="P8" i="5"/>
  <c r="L9" i="5"/>
  <c r="M8" i="5"/>
  <c r="D74" i="10"/>
  <c r="C74" i="10"/>
  <c r="B75" i="10"/>
  <c r="T16" i="4"/>
  <c r="U16" i="4"/>
  <c r="U16" i="13" l="1"/>
  <c r="T16" i="13"/>
  <c r="S17" i="13"/>
  <c r="B76" i="10"/>
  <c r="C75" i="10"/>
  <c r="D75" i="10"/>
  <c r="R15" i="8"/>
  <c r="K16" i="8"/>
  <c r="O15" i="8"/>
  <c r="P15" i="8"/>
  <c r="Q15" i="8"/>
  <c r="L10" i="5"/>
  <c r="O9" i="5"/>
  <c r="N9" i="5"/>
  <c r="Q9" i="5"/>
  <c r="P9" i="5"/>
  <c r="M9" i="5"/>
  <c r="T17" i="4"/>
  <c r="U17" i="4"/>
  <c r="S18" i="4"/>
  <c r="U17" i="13" l="1"/>
  <c r="S18" i="13"/>
  <c r="T17" i="13"/>
  <c r="K17" i="8"/>
  <c r="Q16" i="8"/>
  <c r="O16" i="8"/>
  <c r="R16" i="8"/>
  <c r="P16" i="8"/>
  <c r="Q10" i="5"/>
  <c r="L11" i="5"/>
  <c r="N10" i="5"/>
  <c r="P10" i="5"/>
  <c r="M10" i="5"/>
  <c r="O10" i="5"/>
  <c r="B77" i="10"/>
  <c r="D76" i="10"/>
  <c r="C76" i="10"/>
  <c r="T18" i="4"/>
  <c r="U18" i="4"/>
  <c r="S19" i="4"/>
  <c r="U18" i="13" l="1"/>
  <c r="S19" i="13"/>
  <c r="T18" i="13"/>
  <c r="Q11" i="5"/>
  <c r="N11" i="5"/>
  <c r="M11" i="5"/>
  <c r="P11" i="5"/>
  <c r="O11" i="5"/>
  <c r="L12" i="5"/>
  <c r="P17" i="8"/>
  <c r="R17" i="8"/>
  <c r="K18" i="8"/>
  <c r="Q17" i="8"/>
  <c r="B78" i="10"/>
  <c r="D77" i="10"/>
  <c r="C77" i="10"/>
  <c r="S20" i="4"/>
  <c r="U19" i="4"/>
  <c r="T19" i="4"/>
  <c r="U19" i="13" l="1"/>
  <c r="S20" i="13"/>
  <c r="T19" i="13"/>
  <c r="L13" i="5"/>
  <c r="O12" i="5"/>
  <c r="M12" i="5"/>
  <c r="Q12" i="5"/>
  <c r="N12" i="5"/>
  <c r="P12" i="5"/>
  <c r="C78" i="10"/>
  <c r="B79" i="10"/>
  <c r="D78" i="10"/>
  <c r="K19" i="8"/>
  <c r="Q18" i="8"/>
  <c r="P18" i="8"/>
  <c r="R18" i="8"/>
  <c r="T20" i="4"/>
  <c r="U20" i="4"/>
  <c r="U20" i="13" l="1"/>
  <c r="T20" i="13"/>
  <c r="K20" i="8"/>
  <c r="P19" i="8"/>
  <c r="R19" i="8"/>
  <c r="Q19" i="8"/>
  <c r="Q13" i="5"/>
  <c r="M13" i="5"/>
  <c r="N13" i="5"/>
  <c r="P13" i="5"/>
  <c r="L14" i="5"/>
  <c r="O13" i="5"/>
  <c r="C79" i="10"/>
  <c r="D79" i="10"/>
  <c r="B80" i="10"/>
  <c r="D80" i="10" l="1"/>
  <c r="C80" i="10"/>
  <c r="N14" i="5"/>
  <c r="O14" i="5"/>
  <c r="Q14" i="5"/>
  <c r="M14" i="5"/>
  <c r="P14" i="5"/>
  <c r="L15" i="5"/>
  <c r="Q20" i="8"/>
  <c r="R20" i="8"/>
  <c r="P15" i="5" l="1"/>
  <c r="Q15" i="5"/>
  <c r="N15" i="5"/>
  <c r="O15" i="5"/>
  <c r="M15" i="5"/>
</calcChain>
</file>

<file path=xl/sharedStrings.xml><?xml version="1.0" encoding="utf-8"?>
<sst xmlns="http://schemas.openxmlformats.org/spreadsheetml/2006/main" count="623" uniqueCount="285">
  <si>
    <t>pH</t>
  </si>
  <si>
    <t>Ca</t>
  </si>
  <si>
    <t>Mg</t>
  </si>
  <si>
    <t>Na</t>
  </si>
  <si>
    <t>HCO3</t>
  </si>
  <si>
    <t>SO4</t>
  </si>
  <si>
    <t>Cl</t>
  </si>
  <si>
    <t>F</t>
  </si>
  <si>
    <t>NO3</t>
  </si>
  <si>
    <t>B</t>
  </si>
  <si>
    <t>EC</t>
  </si>
  <si>
    <t>mg/l</t>
  </si>
  <si>
    <t>dS/m</t>
  </si>
  <si>
    <t>meq/l</t>
  </si>
  <si>
    <t>SAR</t>
  </si>
  <si>
    <r>
      <t>pH = -Log(H+) in solution.  pH 7.6 = 10</t>
    </r>
    <r>
      <rPr>
        <vertAlign val="superscript"/>
        <sz val="9"/>
        <rFont val="Arial"/>
        <family val="2"/>
      </rPr>
      <t xml:space="preserve">-7.6 </t>
    </r>
    <r>
      <rPr>
        <sz val="9"/>
        <rFont val="Arial"/>
        <family val="2"/>
      </rPr>
      <t>moles of hydrogen / liter.</t>
    </r>
    <r>
      <rPr>
        <vertAlign val="superscript"/>
        <sz val="9"/>
        <rFont val="Arial"/>
        <family val="2"/>
      </rPr>
      <t xml:space="preserve"> </t>
    </r>
  </si>
  <si>
    <t>Calcium = mg/l / 20</t>
  </si>
  <si>
    <t>Magnesium = mg/l / 24</t>
  </si>
  <si>
    <t>Bicarbonate = mg/l / 61</t>
  </si>
  <si>
    <t>Sulfate = mg/l / 96</t>
  </si>
  <si>
    <t>Fluoride (not common for most ag water suitability analyses.</t>
  </si>
  <si>
    <t>DEFINITIONS / CONVERSIONS</t>
  </si>
  <si>
    <t>Total Salts</t>
  </si>
  <si>
    <t>Electical Conductivity ~= TDS / 640    (Not as accurate for EC &gt; 4.)</t>
  </si>
  <si>
    <t>Sodium = mg/l / 23     (Westside pistachios okay to 30-40 meq/l.  Unpublished UCCE data.)</t>
  </si>
  <si>
    <t>Chloride = mg/l / 35   (Westside pistachios okay to 30-40 meq/l.  UnpublishedUCCE data.)</t>
  </si>
  <si>
    <t>CONVERSION CALCULATIONS FOR SOIL EXTRACT AND WATER QUALITY EVALUATION</t>
  </si>
  <si>
    <t>Sample Site</t>
  </si>
  <si>
    <t>Example</t>
  </si>
  <si>
    <t>TDS (ppm, mg/l)</t>
  </si>
  <si>
    <t>Enter Your</t>
  </si>
  <si>
    <t>Samples Here</t>
  </si>
  <si>
    <t>(Using fresh water with EC &lt;= 1 mmho/cm)</t>
  </si>
  <si>
    <t>CALCULATING SAR, ESP AND DESIRED LEACHING DEPTH</t>
  </si>
  <si>
    <t>Data Required from Soil Extract Analysis</t>
  </si>
  <si>
    <t>EXAMPLE</t>
  </si>
  <si>
    <t>(%)</t>
  </si>
  <si>
    <t>(dS/m)</t>
  </si>
  <si>
    <t>(meq/l)</t>
  </si>
  <si>
    <t>Desired</t>
  </si>
  <si>
    <t>Dsrd/Orig</t>
  </si>
  <si>
    <t>Depth</t>
  </si>
  <si>
    <t>SP</t>
  </si>
  <si>
    <t>ESP</t>
  </si>
  <si>
    <t>Salinity</t>
  </si>
  <si>
    <t>0-1'</t>
  </si>
  <si>
    <t>1-2'</t>
  </si>
  <si>
    <t>2-3'</t>
  </si>
  <si>
    <t>To calculate SAR:</t>
  </si>
  <si>
    <t>SAR = Na / SqRt(Ca+ Mg/2)</t>
  </si>
  <si>
    <t>To calculate ESP from SAR:   ESP = 100*(0.01475*SAR - 0.0126)/(1+ (0.01475*SAR - 0.0126))</t>
  </si>
  <si>
    <t>(K factor of 0.3 for continuous ponding.)</t>
  </si>
  <si>
    <t>SALINITY FOR SOIL RECLAMATION</t>
  </si>
  <si>
    <t>CALCULATING LEACHING DEPTH TO ACHIEVE DESIRED</t>
  </si>
  <si>
    <t>(K factor of 0.15 for sprinkling or drip.)</t>
  </si>
  <si>
    <t>Table 3 CONCENTRATION FACTORS (X) FOR PREDICTING SOIL SALINITY (ECe)1 FROM IRRIGATION WATER SALINITY (ECw) AND THE LEACHING FRACTION (LF)</t>
  </si>
  <si>
    <t>Irrigation Water EC (dS/m)</t>
  </si>
  <si>
    <t>Leaching Fraction (LF) above crop ET requirement</t>
  </si>
  <si>
    <t>Leaching Fraction (LF)</t>
  </si>
  <si>
    <t>Applied Water Needed (Percent of ET)</t>
  </si>
  <si>
    <t>. Ayers, R.S., D.W. Westcot.  Water Quality for Agriculture. FAO Irrigation and Drainage Paper 29 Rev. 1, Reprinted 1989, 1994 .     http://www.fao.org/DOCREP/003/T0234E/T0234E00.htm</t>
  </si>
  <si>
    <t>SOLVING FOR DESIRED LEACHING FRACTION DIRECTLY:</t>
  </si>
  <si>
    <t>(This publication is one of the most extensive references on water quality and can be downloaded for free at the above website.)</t>
  </si>
  <si>
    <r>
      <t>1</t>
    </r>
    <r>
      <rPr>
        <sz val="12"/>
        <rFont val="Times New Roman"/>
        <family val="1"/>
      </rPr>
      <t xml:space="preserve"> The equation for predicting the soil salinity expected after several years of irrigation with water of salinity ECw is:  ECe (dS/m) = ECw (dS/m).X</t>
    </r>
  </si>
  <si>
    <t xml:space="preserve">Well </t>
  </si>
  <si>
    <t>BAR/P-1</t>
  </si>
  <si>
    <t>BAR/P-H</t>
  </si>
  <si>
    <t>BAR/R-E</t>
  </si>
  <si>
    <t>TS/C</t>
  </si>
  <si>
    <t>TS/R-Z</t>
  </si>
  <si>
    <t>MS/P</t>
  </si>
  <si>
    <t>MS/R-G</t>
  </si>
  <si>
    <t>VILL/R-P</t>
  </si>
  <si>
    <t>Sum Cations</t>
  </si>
  <si>
    <t>Ca meq/l</t>
  </si>
  <si>
    <t>Mg meq/l</t>
  </si>
  <si>
    <t>Na meq/l</t>
  </si>
  <si>
    <t>K meq/l</t>
  </si>
  <si>
    <t>EC dS/m</t>
  </si>
  <si>
    <t>Sum Anions</t>
  </si>
  <si>
    <t>SORT BY EC</t>
  </si>
  <si>
    <t>BV/R-G</t>
  </si>
  <si>
    <t>VILL/P-N</t>
  </si>
  <si>
    <t>WATER ANALYSIS 23 SEPT, 2003  (Order as received)</t>
  </si>
  <si>
    <t>3.79 l/gal</t>
  </si>
  <si>
    <t>m3/ac-ft</t>
  </si>
  <si>
    <t>133lb/ac-ft =</t>
  </si>
  <si>
    <t>2.2026 lb/kg</t>
  </si>
  <si>
    <t>kg acid/m3</t>
  </si>
  <si>
    <t>to neutralize 1 meq/l HCO3</t>
  </si>
  <si>
    <t>Reqd LF(%)</t>
  </si>
  <si>
    <r>
      <t>HCO</t>
    </r>
    <r>
      <rPr>
        <b/>
        <vertAlign val="subscript"/>
        <sz val="10"/>
        <rFont val="Arial"/>
        <family val="2"/>
      </rPr>
      <t>3</t>
    </r>
    <r>
      <rPr>
        <b/>
        <vertAlign val="superscript"/>
        <sz val="10"/>
        <rFont val="Arial"/>
        <family val="2"/>
      </rPr>
      <t xml:space="preserve">- </t>
    </r>
    <r>
      <rPr>
        <b/>
        <sz val="10"/>
        <rFont val="Arial"/>
        <family val="2"/>
      </rPr>
      <t>meq/l</t>
    </r>
  </si>
  <si>
    <r>
      <t>CO</t>
    </r>
    <r>
      <rPr>
        <b/>
        <vertAlign val="subscript"/>
        <sz val="10"/>
        <rFont val="Arial"/>
        <family val="2"/>
      </rPr>
      <t>3</t>
    </r>
    <r>
      <rPr>
        <b/>
        <vertAlign val="superscript"/>
        <sz val="10"/>
        <rFont val="Arial"/>
        <family val="2"/>
      </rPr>
      <t xml:space="preserve">-2 </t>
    </r>
    <r>
      <rPr>
        <b/>
        <sz val="10"/>
        <rFont val="Arial"/>
        <family val="2"/>
      </rPr>
      <t>meq/l</t>
    </r>
  </si>
  <si>
    <r>
      <t>C1</t>
    </r>
    <r>
      <rPr>
        <b/>
        <vertAlign val="superscript"/>
        <sz val="10"/>
        <rFont val="Arial"/>
        <family val="2"/>
      </rPr>
      <t xml:space="preserve">-1  </t>
    </r>
    <r>
      <rPr>
        <b/>
        <sz val="10"/>
        <rFont val="Arial"/>
        <family val="2"/>
      </rPr>
      <t>meq/l</t>
    </r>
  </si>
  <si>
    <r>
      <t xml:space="preserve">SO </t>
    </r>
    <r>
      <rPr>
        <b/>
        <vertAlign val="subscript"/>
        <sz val="10"/>
        <rFont val="Arial"/>
        <family val="2"/>
      </rPr>
      <t>4</t>
    </r>
    <r>
      <rPr>
        <b/>
        <vertAlign val="superscript"/>
        <sz val="10"/>
        <rFont val="Arial"/>
        <family val="2"/>
      </rPr>
      <t xml:space="preserve">-2 </t>
    </r>
    <r>
      <rPr>
        <b/>
        <sz val="10"/>
        <rFont val="Arial"/>
        <family val="2"/>
      </rPr>
      <t>meq/l</t>
    </r>
  </si>
  <si>
    <r>
      <t>SORT BY HCO</t>
    </r>
    <r>
      <rPr>
        <b/>
        <vertAlign val="subscript"/>
        <sz val="10"/>
        <rFont val="Arial"/>
        <family val="2"/>
      </rPr>
      <t>3</t>
    </r>
    <r>
      <rPr>
        <b/>
        <vertAlign val="superscript"/>
        <sz val="10"/>
        <rFont val="Arial"/>
        <family val="2"/>
      </rPr>
      <t>-</t>
    </r>
  </si>
  <si>
    <r>
      <t>HCO</t>
    </r>
    <r>
      <rPr>
        <b/>
        <vertAlign val="subscript"/>
        <sz val="10"/>
        <rFont val="Arial"/>
        <family val="2"/>
      </rPr>
      <t>3</t>
    </r>
    <r>
      <rPr>
        <b/>
        <vertAlign val="superscript"/>
        <sz val="10"/>
        <rFont val="Arial"/>
        <family val="2"/>
      </rPr>
      <t xml:space="preserve">- </t>
    </r>
    <r>
      <rPr>
        <b/>
        <sz val="8"/>
        <rFont val="Arial"/>
        <family val="2"/>
      </rPr>
      <t>(%Anion)</t>
    </r>
  </si>
  <si>
    <r>
      <t>1</t>
    </r>
    <r>
      <rPr>
        <sz val="10"/>
        <rFont val="Arial"/>
        <family val="2"/>
      </rPr>
      <t>Required LEACHING FRACTION (LF) as a % of water in excess of crop ET to maintain an average rootzone saturation extract EC of 1.5 dS/m.  For example:  Water 5, MS/P EC=0.85 dS/m, LF = 13%.  If walnut ET = 1100mm for the season, then APPLIED WATER = 1100 * 1.13 = 1243mm
1.5 dS/m is the current published salinity threshold for almonds, which is classed as a "Sensitive Crop" for almonds.  We do not have a numeric threshold for walnuts at this time.</t>
    </r>
  </si>
  <si>
    <t>Average rootzone saturation extract EC (dS/m) after long-term irrigation with a given salinity of water (ignoring precipitation/dissolution reactions in the soil) and Leaching Fraction.</t>
  </si>
  <si>
    <t>Results for</t>
  </si>
  <si>
    <t xml:space="preserve"> Your Samples</t>
  </si>
  <si>
    <r>
      <t>1</t>
    </r>
    <r>
      <rPr>
        <b/>
        <sz val="10"/>
        <rFont val="Arial"/>
        <family val="2"/>
      </rPr>
      <t>Acid to neutrlz (lb/ac-ft)</t>
    </r>
  </si>
  <si>
    <r>
      <t>1</t>
    </r>
    <r>
      <rPr>
        <sz val="10"/>
        <rFont val="Arial"/>
        <family val="2"/>
      </rPr>
      <t>Pounds of 100% sulfuric acid to inject per ac-ft of irrigation water.</t>
    </r>
  </si>
  <si>
    <r>
      <t>1</t>
    </r>
    <r>
      <rPr>
        <sz val="12"/>
        <rFont val="Times New Roman"/>
        <family val="1"/>
      </rPr>
      <t xml:space="preserve"> The equation for predicting the soil salinity, ECe, expected after several years of irrigation with water of salinity ECw is:  ECe (dS/m) = ECw*(Concentration Factor, X)</t>
    </r>
  </si>
  <si>
    <t>Desired Average Rootzone ECe</t>
  </si>
  <si>
    <t>Leaching fraction required over long-term irrigation with a given salinity of water to obtain a desired rootzone salinity.  (Ignoring precipitation/dissolution reactions in the soil.)</t>
  </si>
  <si>
    <t>Concen-tration Factor 
(X)</t>
  </si>
  <si>
    <t>Desired Rootzone Salinity</t>
  </si>
  <si>
    <t xml:space="preserve">*Inches of water/foot of rootzone Required  to  leach  initial  salinity of: </t>
  </si>
  <si>
    <t>SPRINKLING RECLAMATION</t>
  </si>
  <si>
    <t>Sprinkling / Drip to Leach Rootzone</t>
  </si>
  <si>
    <t>Sample</t>
  </si>
  <si>
    <t>Thickness</t>
  </si>
  <si>
    <t>(ft water / ft soil)</t>
  </si>
  <si>
    <t>(inch water for sample)</t>
  </si>
  <si>
    <t>(inches)</t>
  </si>
  <si>
    <t>TOTAL DEPTH OF LEACHING REQUIRED (inches):</t>
  </si>
  <si>
    <t>YOUR</t>
  </si>
  <si>
    <t>SOIL</t>
  </si>
  <si>
    <t xml:space="preserve">    (Rhodes 1982)</t>
  </si>
  <si>
    <t>Concentration</t>
  </si>
  <si>
    <t>Factor</t>
  </si>
  <si>
    <t>X</t>
  </si>
  <si>
    <t>Avg ECe Rootzone/ECe Irrig Water</t>
  </si>
  <si>
    <t>LR- Flood</t>
  </si>
  <si>
    <t>LR- High Freq (sprinkler/micro)</t>
  </si>
  <si>
    <t>Applied Water Needed as %ET</t>
  </si>
  <si>
    <r>
      <t xml:space="preserve">Regressing the rootzone salinity concentration factors in FAO29 and rearranging to solve for Leaching Fraction (LF):     </t>
    </r>
    <r>
      <rPr>
        <b/>
        <sz val="11"/>
        <rFont val="Arial"/>
        <family val="2"/>
      </rPr>
      <t xml:space="preserve"> 
                             LF = 0.3086 (Desired ECe/ECirr)^ -1.66</t>
    </r>
  </si>
  <si>
    <t>LF = 0.3086(Desired ECe/ECirr)^ -1.66</t>
  </si>
  <si>
    <t>EXAMPLES</t>
  </si>
  <si>
    <t>Irrig EC</t>
  </si>
  <si>
    <t>(Rhodes 1990)</t>
  </si>
  <si>
    <t>(K can be as small as 0.1)</t>
  </si>
  <si>
    <t xml:space="preserve">Required Leaching (ft water/ft depth soil) = K / (Desired EC/Original EC)  </t>
  </si>
  <si>
    <t>Avg ECe /</t>
  </si>
  <si>
    <t>Rhodes 1974</t>
  </si>
  <si>
    <t>ECe (dS/m)</t>
  </si>
  <si>
    <t>Rootzone</t>
  </si>
  <si>
    <t>Irrig Water</t>
  </si>
  <si>
    <t>EC (dS/m)</t>
  </si>
  <si>
    <t>Applied</t>
  </si>
  <si>
    <t>Water</t>
  </si>
  <si>
    <t>as %ET</t>
  </si>
  <si>
    <r>
      <t>RL - k</t>
    </r>
    <r>
      <rPr>
        <vertAlign val="subscript"/>
        <sz val="10"/>
        <rFont val="Arial"/>
        <family val="2"/>
      </rPr>
      <t>0.1</t>
    </r>
  </si>
  <si>
    <r>
      <t>k</t>
    </r>
    <r>
      <rPr>
        <b/>
        <vertAlign val="subscript"/>
        <sz val="12"/>
        <rFont val="Arial"/>
        <family val="2"/>
      </rPr>
      <t>0.1</t>
    </r>
  </si>
  <si>
    <t xml:space="preserve">BASIC RECLAMATION                    
Required Leaching (ft water/ft depth soil) = K / (Desired EC/Original EC)  </t>
  </si>
  <si>
    <r>
      <t>k</t>
    </r>
    <r>
      <rPr>
        <b/>
        <vertAlign val="subscript"/>
        <sz val="12"/>
        <rFont val="Arial"/>
        <family val="2"/>
      </rPr>
      <t>0.15</t>
    </r>
  </si>
  <si>
    <t>Hoffman 1980</t>
  </si>
  <si>
    <t>Hoffman 1983</t>
  </si>
  <si>
    <t>Sprinkler</t>
  </si>
  <si>
    <t>AVERAGE Fall 2008-10</t>
  </si>
  <si>
    <t>NO3-N</t>
  </si>
  <si>
    <t>DEPTH</t>
  </si>
  <si>
    <t>ppm</t>
  </si>
  <si>
    <t>0-1</t>
  </si>
  <si>
    <t>BELRIDGE ALMONDS -- 51 ac set in 153 ac block</t>
  </si>
  <si>
    <t>AVERAGE FROM 20 SITES</t>
  </si>
  <si>
    <t>Rootzone (ft), Z =</t>
  </si>
  <si>
    <t>Sigma (0.2Z) =</t>
  </si>
  <si>
    <t>Leaching Fraction (L)</t>
  </si>
  <si>
    <r>
      <t>(k</t>
    </r>
    <r>
      <rPr>
        <vertAlign val="subscript"/>
        <sz val="10"/>
        <rFont val="Arial"/>
        <family val="2"/>
      </rPr>
      <t>0.1</t>
    </r>
    <r>
      <rPr>
        <sz val="10"/>
        <rFont val="Arial"/>
        <family val="2"/>
      </rPr>
      <t>)</t>
    </r>
  </si>
  <si>
    <t>Required</t>
  </si>
  <si>
    <t>Leaching</t>
  </si>
  <si>
    <r>
      <t>(k</t>
    </r>
    <r>
      <rPr>
        <vertAlign val="subscript"/>
        <sz val="10"/>
        <rFont val="Arial"/>
        <family val="2"/>
      </rPr>
      <t>0.15</t>
    </r>
    <r>
      <rPr>
        <sz val="10"/>
        <rFont val="Arial"/>
        <family val="2"/>
      </rPr>
      <t>)</t>
    </r>
  </si>
  <si>
    <t>depth of leaching</t>
  </si>
  <si>
    <t>/depth soil</t>
  </si>
  <si>
    <t>Final</t>
  </si>
  <si>
    <t>WUE</t>
  </si>
  <si>
    <t>(ft irr/ft soil)</t>
  </si>
  <si>
    <t>LR - Flood</t>
  </si>
  <si>
    <t>LR-Micro /</t>
  </si>
  <si>
    <t>LR - Sprinkler / micro</t>
  </si>
  <si>
    <t>Ayers, R.S., D.W. Westcot.  Water Quality for Agriculture. FAO Irrigation and Drainage Paper 29 Rev. 1, Reprinted 1989, 1994 .     http://www.fao.org/DOCREP/003/T0234E/T0234E00.htm</t>
  </si>
  <si>
    <t>Also in:</t>
  </si>
  <si>
    <t>Conc. Factor</t>
  </si>
  <si>
    <t>Fall 2008</t>
  </si>
  <si>
    <t>Average</t>
  </si>
  <si>
    <t>Field Tons &amp; Total $/ac to Meet the Below 100% Gypsum Requirements</t>
  </si>
  <si>
    <t>Purity</t>
  </si>
  <si>
    <t>Moisture</t>
  </si>
  <si>
    <t>Approx</t>
  </si>
  <si>
    <t xml:space="preserve">   1 ton/ac</t>
  </si>
  <si>
    <t xml:space="preserve">   2 ton/ac</t>
  </si>
  <si>
    <t xml:space="preserve">   4 ton/ac</t>
  </si>
  <si>
    <t>Amendment</t>
  </si>
  <si>
    <t>Cost/Ton</t>
  </si>
  <si>
    <t>Tons</t>
  </si>
  <si>
    <t>*$</t>
  </si>
  <si>
    <t>$</t>
  </si>
  <si>
    <t>Westside Pit Gypsum</t>
  </si>
  <si>
    <t>'Lima' Gypsum (Ventacopa)</t>
  </si>
  <si>
    <r>
      <t>Bulk Solution Gypsum</t>
    </r>
    <r>
      <rPr>
        <vertAlign val="superscript"/>
        <sz val="11"/>
        <rFont val="Arial"/>
        <family val="2"/>
      </rPr>
      <t xml:space="preserve">1 </t>
    </r>
    <r>
      <rPr>
        <sz val="11"/>
        <rFont val="Arial"/>
        <family val="2"/>
      </rPr>
      <t>(dlvd)</t>
    </r>
  </si>
  <si>
    <t>Ground Wallboard</t>
  </si>
  <si>
    <r>
      <t>Soil Sulfur ("popcorn")</t>
    </r>
    <r>
      <rPr>
        <vertAlign val="superscript"/>
        <sz val="11"/>
        <rFont val="Arial"/>
        <family val="2"/>
      </rPr>
      <t>2</t>
    </r>
  </si>
  <si>
    <r>
      <t>Soil Sulfur (granular)</t>
    </r>
    <r>
      <rPr>
        <vertAlign val="superscript"/>
        <sz val="11"/>
        <rFont val="Arial"/>
        <family val="2"/>
      </rPr>
      <t>2</t>
    </r>
  </si>
  <si>
    <r>
      <t>Sulfuric Acid (applied)</t>
    </r>
    <r>
      <rPr>
        <vertAlign val="superscript"/>
        <sz val="11"/>
        <rFont val="Arial"/>
        <family val="2"/>
      </rPr>
      <t>2</t>
    </r>
  </si>
  <si>
    <t>NA</t>
  </si>
  <si>
    <r>
      <t>Thio-Sul</t>
    </r>
    <r>
      <rPr>
        <vertAlign val="superscript"/>
        <sz val="11"/>
        <rFont val="Arial"/>
        <family val="2"/>
      </rPr>
      <t xml:space="preserve">1,2 </t>
    </r>
    <r>
      <rPr>
        <sz val="11"/>
        <rFont val="Arial"/>
        <family val="2"/>
      </rPr>
      <t>(delivered)</t>
    </r>
  </si>
  <si>
    <t>N-12, S-26</t>
  </si>
  <si>
    <r>
      <t>Lime Sulfur</t>
    </r>
    <r>
      <rPr>
        <vertAlign val="superscript"/>
        <sz val="11"/>
        <rFont val="Arial"/>
        <family val="2"/>
      </rPr>
      <t xml:space="preserve">1,2,3 </t>
    </r>
    <r>
      <rPr>
        <sz val="11"/>
        <rFont val="Arial"/>
        <family val="2"/>
      </rPr>
      <t>(delivered)</t>
    </r>
  </si>
  <si>
    <t>Ca-6, S-23</t>
  </si>
  <si>
    <r>
      <t>N-pHuric 10/55</t>
    </r>
    <r>
      <rPr>
        <vertAlign val="superscript"/>
        <sz val="11"/>
        <rFont val="Arial"/>
        <family val="2"/>
      </rPr>
      <t>1,2</t>
    </r>
    <r>
      <rPr>
        <sz val="11"/>
        <rFont val="Arial"/>
        <family val="2"/>
      </rPr>
      <t xml:space="preserve"> (delivered)</t>
    </r>
  </si>
  <si>
    <t>N-10, S-18</t>
  </si>
  <si>
    <r>
      <t>Beet Lime</t>
    </r>
    <r>
      <rPr>
        <vertAlign val="superscript"/>
        <sz val="11"/>
        <rFont val="Arial"/>
        <family val="2"/>
      </rPr>
      <t>4</t>
    </r>
  </si>
  <si>
    <r>
      <t xml:space="preserve">*Price assumes freight @ $12/ton, spreading (where applicable) @ $14/ac to 3t/ac. </t>
    </r>
    <r>
      <rPr>
        <vertAlign val="superscript"/>
        <sz val="10"/>
        <rFont val="Arial"/>
        <family val="2"/>
      </rPr>
      <t>1</t>
    </r>
    <r>
      <rPr>
        <sz val="10"/>
        <rFont val="Arial"/>
        <family val="2"/>
      </rPr>
      <t>Chemigation, no application cost.</t>
    </r>
  </si>
  <si>
    <r>
      <t>2</t>
    </r>
    <r>
      <rPr>
        <sz val="10"/>
        <rFont val="Arial"/>
        <family val="2"/>
      </rPr>
      <t xml:space="preserve">Free lime must be present in soil.     </t>
    </r>
    <r>
      <rPr>
        <vertAlign val="superscript"/>
        <sz val="10"/>
        <rFont val="Arial"/>
        <family val="2"/>
      </rPr>
      <t>3</t>
    </r>
    <r>
      <rPr>
        <sz val="10"/>
        <rFont val="Arial"/>
        <family val="2"/>
      </rPr>
      <t xml:space="preserve">Some free Ca but soil lime needed for complete reaction.      </t>
    </r>
    <r>
      <rPr>
        <vertAlign val="superscript"/>
        <sz val="10"/>
        <rFont val="Arial"/>
        <family val="2"/>
      </rPr>
      <t>4</t>
    </r>
    <r>
      <rPr>
        <sz val="10"/>
        <rFont val="Arial"/>
        <family val="2"/>
      </rPr>
      <t>Acid soil only.</t>
    </r>
  </si>
  <si>
    <t>ENTER YOUR DATA BELOW</t>
  </si>
  <si>
    <t>Always want EC/ESP &lt; 5 to avoid potential infiltration problems.</t>
  </si>
  <si>
    <t>ESP/EC</t>
  </si>
  <si>
    <t>--</t>
  </si>
  <si>
    <t>Desired salinity / Original salinity</t>
  </si>
  <si>
    <t>Depth of leaching per depth soil</t>
  </si>
  <si>
    <t>Sprinkling Fraction remaining</t>
  </si>
  <si>
    <t>Boron</t>
  </si>
  <si>
    <t>Desired Soil B (ppm, sat. ext)</t>
  </si>
  <si>
    <t>Starting B (ppm)</t>
  </si>
  <si>
    <t xml:space="preserve">    Explanation:</t>
  </si>
  <si>
    <t>1. CALCULATED DEPTH OF WATER PER DEPTH OF SOIL FOR BORON LEACHING (= 0.6/(desired/initial)</t>
  </si>
  <si>
    <t>k = 0.15 (Sprinkler/drip)</t>
  </si>
  <si>
    <t>k = 0.3 (Flood)</t>
  </si>
  <si>
    <t>depth of leaching/</t>
  </si>
  <si>
    <t>depth soil</t>
  </si>
  <si>
    <t xml:space="preserve">Ecdesired/EC original </t>
  </si>
  <si>
    <t>depth of water @4' ET</t>
  </si>
  <si>
    <t>Concentra-tion Factor</t>
  </si>
  <si>
    <t>Leaching Fraction</t>
  </si>
  <si>
    <t>Acceptable Rootzone ECe (dS/m)</t>
  </si>
  <si>
    <t>k (sprinkler) = 0.15</t>
  </si>
  <si>
    <t>k (flood) = 0.3</t>
  </si>
  <si>
    <t xml:space="preserve">= (0.7*5 + 2.1*33)/38 = </t>
  </si>
  <si>
    <t>Weighted average EC: 5" canal @ 0.7 dS/m
    33" well @ 2.1 dS/m       ET = 38"</t>
  </si>
  <si>
    <t>For long-term rootzone salinity…</t>
  </si>
  <si>
    <t>3 dS/m</t>
  </si>
  <si>
    <t>5 dS/m</t>
  </si>
  <si>
    <t>LF =</t>
  </si>
  <si>
    <t>0-20</t>
  </si>
  <si>
    <t>20-40</t>
  </si>
  <si>
    <t>40-60</t>
  </si>
  <si>
    <t>TREATMENT 2 - CNTRL+WINTER LEACHING</t>
  </si>
  <si>
    <t>SYSTEM RUNTIME REQUIREMENTS:</t>
  </si>
  <si>
    <t>inch/day</t>
  </si>
  <si>
    <t>TIME REQUIRED TO ACHIEVE DESIRED LEACHING IN WETTED ZONE:</t>
  </si>
  <si>
    <t>DAYS</t>
  </si>
  <si>
    <t>HOURS</t>
  </si>
  <si>
    <t>AVERAGE 60" ROOTZONE ECe =</t>
  </si>
  <si>
    <t>TREATMENT 2 CONTROL+WL DRIP IRRIGATION RATE:</t>
  </si>
  <si>
    <t>ROW SPACING:</t>
  </si>
  <si>
    <t>feet</t>
  </si>
  <si>
    <t>(The above irrigation depth is for the whole 20 foot row spacing.)</t>
  </si>
  <si>
    <t>Soil Texture</t>
  </si>
  <si>
    <t>Field Capacity (in/ft)</t>
  </si>
  <si>
    <t>Wilting Point   (in/ft)</t>
  </si>
  <si>
    <t>Available Soil Moisture        (in/ft)</t>
  </si>
  <si>
    <t>Avg Drip Subbing Diameter from 1 to 4' Depth (ft)</t>
  </si>
  <si>
    <t>*Moisture Reserve (gals)</t>
  </si>
  <si>
    <t>Sand</t>
  </si>
  <si>
    <t>Loamy Sand</t>
  </si>
  <si>
    <t>Sandy Loam</t>
  </si>
  <si>
    <t>Loam</t>
  </si>
  <si>
    <t>Silt Loam</t>
  </si>
  <si>
    <t>Sandy Clay Loam</t>
  </si>
  <si>
    <t>Sandy Clay</t>
  </si>
  <si>
    <t>Clay Loam</t>
  </si>
  <si>
    <t>Silty Clay Loam</t>
  </si>
  <si>
    <t>Silty Clay</t>
  </si>
  <si>
    <t>Clay</t>
  </si>
  <si>
    <r>
      <t xml:space="preserve">*This is the maximum gallons of water stored to a 4' depth beneath a single drip emitter.  In fine textured soils, the wetted volume of one emitter merges with another on the same hose and final gallons of moisture reserve per emitter will be less than the number shown in the table.  Plant stress will usually be seen when about 50% of this reserve has been used.
</t>
    </r>
    <r>
      <rPr>
        <i/>
        <sz val="11"/>
        <color theme="1"/>
        <rFont val="Calibri"/>
        <family val="2"/>
        <scheme val="minor"/>
      </rPr>
      <t xml:space="preserve">   Ref:  Ratliff LF, Ritchie JT, Cassel DK. 1983. Field-measured limits of soil water availability as related to laboratory-measured properties.  Soil Sci Soc Am. 47:770-5.</t>
    </r>
  </si>
  <si>
    <t>WETTED AREA APPLICATION RATE:</t>
  </si>
  <si>
    <t>SILT LOAM SOIL TEXTURE SUBBING WETTED AREA:</t>
  </si>
  <si>
    <t>WETTED AREA LEACHING REQUIREMENT:</t>
  </si>
  <si>
    <t>inches</t>
  </si>
  <si>
    <t>TREATMENT 2 CONTROL+WL:</t>
  </si>
  <si>
    <t>WETTED AREA LEACHING (inches)</t>
  </si>
  <si>
    <t>NET IRRIGATION OVER ENTIRE FIELD (inches):</t>
  </si>
  <si>
    <t>SILT LOAM 100% AVAILABLE MOISTURE TO 5 FT:</t>
  </si>
  <si>
    <t>CURRENT ROOTZONE AVAILABLE MOISTURE TO 5 FT =</t>
  </si>
  <si>
    <t>TIME REQUIRED TO REFILL WETTED ROOTZONE:</t>
  </si>
  <si>
    <t>SOIL MOISTURE DEFICIT (inches)</t>
  </si>
  <si>
    <t>Wetted Area Depth (inches)</t>
  </si>
  <si>
    <t>Applied Irrigation Depth (inches)</t>
  </si>
  <si>
    <t>Runtime (hrs)</t>
  </si>
  <si>
    <t>Runtime (days)</t>
  </si>
  <si>
    <t>SOIL MOISTURE RECHARGE:</t>
  </si>
  <si>
    <t>LEACHING REQUIREMENT: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</si>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</sst>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
    <numFmt numFmtId="167" formatCode="0.0%"/>
    <numFmt numFmtId="168" formatCode="&quot;$&quot;#,##0"/>
  </numFmts>
  <fonts count="46">
    <font>
      <sz val="10"/>
      <name val="Arial"/>
    </font>
    <font>
      <sz val="11"/>
      <color theme="1"/>
      <name val="Calibri"/>
      <family val="2"/>
      <scheme val="minor"/>
    </font>
    <font>
      <sz val="10"/>
      <name val="Arial"/>
      <family val="2"/>
    </font>
    <font>
      <sz val="9"/>
      <name val="Arial"/>
      <family val="2"/>
    </font>
    <font>
      <b/>
      <sz val="9"/>
      <name val="Arial"/>
      <family val="2"/>
    </font>
    <font>
      <vertAlign val="superscript"/>
      <sz val="9"/>
      <name val="Arial"/>
      <family val="2"/>
    </font>
    <font>
      <sz val="9"/>
      <name val="Arial"/>
      <family val="2"/>
    </font>
    <font>
      <sz val="10"/>
      <name val="Times New Roman"/>
      <family val="1"/>
    </font>
    <font>
      <b/>
      <sz val="10"/>
      <name val="Times New Roman"/>
      <family val="1"/>
    </font>
    <font>
      <b/>
      <u/>
      <sz val="9"/>
      <name val="Arial"/>
      <family val="2"/>
    </font>
    <font>
      <b/>
      <sz val="10"/>
      <name val="Arial"/>
      <family val="2"/>
    </font>
    <font>
      <sz val="10"/>
      <name val="Arial"/>
      <family val="2"/>
    </font>
    <font>
      <b/>
      <sz val="12"/>
      <name val="Arial"/>
      <family val="2"/>
    </font>
    <font>
      <u/>
      <sz val="10"/>
      <color indexed="12"/>
      <name val="Arial"/>
      <family val="2"/>
    </font>
    <font>
      <sz val="8"/>
      <name val="Arial"/>
      <family val="2"/>
    </font>
    <font>
      <b/>
      <sz val="11"/>
      <name val="Arial"/>
      <family val="2"/>
    </font>
    <font>
      <sz val="11"/>
      <name val="Arial"/>
      <family val="2"/>
    </font>
    <font>
      <sz val="12"/>
      <name val="Arial"/>
      <family val="2"/>
    </font>
    <font>
      <u/>
      <sz val="10"/>
      <color indexed="12"/>
      <name val="Arial"/>
      <family val="2"/>
    </font>
    <font>
      <sz val="12"/>
      <name val="Times New Roman"/>
      <family val="1"/>
    </font>
    <font>
      <vertAlign val="superscript"/>
      <sz val="12"/>
      <name val="Times New Roman"/>
      <family val="1"/>
    </font>
    <font>
      <sz val="11"/>
      <name val="Arial"/>
      <family val="2"/>
    </font>
    <font>
      <b/>
      <vertAlign val="subscript"/>
      <sz val="10"/>
      <name val="Arial"/>
      <family val="2"/>
    </font>
    <font>
      <b/>
      <vertAlign val="superscript"/>
      <sz val="10"/>
      <name val="Arial"/>
      <family val="2"/>
    </font>
    <font>
      <b/>
      <sz val="8"/>
      <name val="Arial"/>
      <family val="2"/>
    </font>
    <font>
      <vertAlign val="superscript"/>
      <sz val="10"/>
      <name val="Arial"/>
      <family val="2"/>
    </font>
    <font>
      <b/>
      <sz val="14"/>
      <name val="Arial"/>
      <family val="2"/>
    </font>
    <font>
      <b/>
      <sz val="10"/>
      <name val="Arial"/>
      <family val="2"/>
    </font>
    <font>
      <sz val="12"/>
      <name val="Arial"/>
      <family val="2"/>
    </font>
    <font>
      <b/>
      <sz val="12"/>
      <name val="Times New Roman"/>
      <family val="1"/>
    </font>
    <font>
      <sz val="12"/>
      <color indexed="8"/>
      <name val="Times New Roman"/>
      <family val="1"/>
    </font>
    <font>
      <vertAlign val="subscript"/>
      <sz val="10"/>
      <name val="Arial"/>
      <family val="2"/>
    </font>
    <font>
      <b/>
      <vertAlign val="subscript"/>
      <sz val="12"/>
      <name val="Arial"/>
      <family val="2"/>
    </font>
    <font>
      <sz val="10"/>
      <name val="Geneva"/>
    </font>
    <font>
      <b/>
      <sz val="18"/>
      <name val="Arial"/>
      <family val="2"/>
    </font>
    <font>
      <sz val="9"/>
      <name val="Helv"/>
    </font>
    <font>
      <vertAlign val="superscript"/>
      <sz val="11"/>
      <name val="Arial"/>
      <family val="2"/>
    </font>
    <font>
      <b/>
      <sz val="16"/>
      <name val="Arial"/>
      <family val="2"/>
    </font>
    <font>
      <b/>
      <sz val="12"/>
      <name val="Calibri"/>
      <family val="2"/>
    </font>
    <font>
      <b/>
      <sz val="14"/>
      <name val="Calibri"/>
      <family val="2"/>
    </font>
    <font>
      <b/>
      <sz val="11"/>
      <color theme="1"/>
      <name val="Calibri"/>
      <family val="2"/>
      <scheme val="minor"/>
    </font>
    <font>
      <b/>
      <sz val="7"/>
      <name val="Arial"/>
      <family val="2"/>
    </font>
    <font>
      <b/>
      <sz val="14"/>
      <color theme="1"/>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indexed="44"/>
        <bgColor indexed="64"/>
      </patternFill>
    </fill>
    <fill>
      <patternFill patternType="solid">
        <fgColor indexed="1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5D3FF"/>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8"/>
      </top>
      <bottom/>
      <diagonal/>
    </border>
    <border>
      <left/>
      <right/>
      <top/>
      <bottom style="thin">
        <color indexed="8"/>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7">
    <xf numFmtId="0" fontId="0" fillId="0" borderId="0"/>
    <xf numFmtId="0" fontId="13" fillId="0" borderId="0" applyNumberFormat="0" applyFill="0" applyBorder="0" applyAlignment="0" applyProtection="0">
      <alignment vertical="top"/>
      <protection locked="0"/>
    </xf>
    <xf numFmtId="0" fontId="35" fillId="0" borderId="0"/>
    <xf numFmtId="0" fontId="33" fillId="0" borderId="0"/>
    <xf numFmtId="9" fontId="2" fillId="0" borderId="0" applyFont="0" applyFill="0" applyBorder="0" applyAlignment="0" applyProtection="0"/>
    <xf numFmtId="0" fontId="1" fillId="0" borderId="0"/>
    <xf numFmtId="0" fontId="11" fillId="0" borderId="0"/>
  </cellStyleXfs>
  <cellXfs count="497">
    <xf numFmtId="0" fontId="0" fillId="0" borderId="0" xfId="0"/>
    <xf numFmtId="0" fontId="3" fillId="0" borderId="0" xfId="0" applyFont="1"/>
    <xf numFmtId="0" fontId="4" fillId="0" borderId="0" xfId="0" applyFont="1"/>
    <xf numFmtId="0" fontId="4" fillId="0" borderId="0" xfId="0" applyFont="1" applyAlignment="1">
      <alignment horizontal="center"/>
    </xf>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164" fontId="3" fillId="0" borderId="2" xfId="0" applyNumberFormat="1" applyFont="1" applyBorder="1"/>
    <xf numFmtId="0" fontId="3" fillId="0" borderId="0" xfId="0" applyFont="1" applyAlignment="1">
      <alignment horizontal="center"/>
    </xf>
    <xf numFmtId="0" fontId="4" fillId="0" borderId="0" xfId="0" applyFont="1" applyAlignment="1">
      <alignment horizontal="left"/>
    </xf>
    <xf numFmtId="0" fontId="9" fillId="0" borderId="0" xfId="0" applyFont="1" applyAlignment="1">
      <alignment horizontal="left"/>
    </xf>
    <xf numFmtId="0" fontId="4" fillId="0" borderId="4"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6" fillId="0" borderId="1" xfId="0" applyFont="1" applyBorder="1" applyAlignment="1">
      <alignment horizontal="left"/>
    </xf>
    <xf numFmtId="0" fontId="6" fillId="0" borderId="4" xfId="0" applyFont="1" applyBorder="1" applyAlignment="1">
      <alignment horizontal="left"/>
    </xf>
    <xf numFmtId="164" fontId="3" fillId="0" borderId="1" xfId="0" applyNumberFormat="1" applyFont="1" applyBorder="1" applyAlignment="1">
      <alignment horizontal="center"/>
    </xf>
    <xf numFmtId="0" fontId="3" fillId="0" borderId="9" xfId="0" applyFont="1" applyBorder="1" applyAlignment="1">
      <alignment horizontal="center"/>
    </xf>
    <xf numFmtId="0" fontId="3" fillId="0" borderId="9" xfId="0" applyFont="1" applyBorder="1"/>
    <xf numFmtId="0" fontId="4" fillId="0" borderId="10" xfId="0" applyFont="1" applyBorder="1" applyAlignment="1">
      <alignment horizontal="center"/>
    </xf>
    <xf numFmtId="0" fontId="4" fillId="0" borderId="11" xfId="0" applyFont="1" applyBorder="1" applyAlignment="1">
      <alignment horizontal="center"/>
    </xf>
    <xf numFmtId="0" fontId="4" fillId="0" borderId="11" xfId="0" applyFont="1" applyBorder="1"/>
    <xf numFmtId="0" fontId="4" fillId="0" borderId="12"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4" xfId="0" applyFont="1" applyBorder="1"/>
    <xf numFmtId="0" fontId="4" fillId="0" borderId="15" xfId="0" applyFont="1" applyBorder="1"/>
    <xf numFmtId="164" fontId="3" fillId="0" borderId="16" xfId="0" applyNumberFormat="1" applyFont="1" applyBorder="1" applyAlignment="1">
      <alignment horizontal="center"/>
    </xf>
    <xf numFmtId="164" fontId="3" fillId="0" borderId="17" xfId="0" applyNumberFormat="1" applyFont="1" applyBorder="1"/>
    <xf numFmtId="0" fontId="3" fillId="0" borderId="17" xfId="0" applyFont="1" applyBorder="1"/>
    <xf numFmtId="0" fontId="3" fillId="0" borderId="18" xfId="0" applyFont="1" applyBorder="1"/>
    <xf numFmtId="164" fontId="3" fillId="0" borderId="19" xfId="0" applyNumberFormat="1" applyFont="1" applyBorder="1" applyAlignment="1">
      <alignment horizontal="center"/>
    </xf>
    <xf numFmtId="164" fontId="3" fillId="0" borderId="20" xfId="0" applyNumberFormat="1" applyFont="1" applyBorder="1"/>
    <xf numFmtId="0" fontId="3" fillId="0" borderId="20" xfId="0" applyFont="1" applyBorder="1"/>
    <xf numFmtId="0" fontId="3" fillId="0" borderId="21" xfId="0" applyFont="1" applyBorder="1"/>
    <xf numFmtId="0" fontId="12" fillId="0" borderId="0" xfId="0" applyFont="1"/>
    <xf numFmtId="0" fontId="10" fillId="0" borderId="0" xfId="0" applyFont="1"/>
    <xf numFmtId="0" fontId="6" fillId="0" borderId="0" xfId="0" applyFont="1"/>
    <xf numFmtId="0" fontId="4" fillId="0" borderId="7"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6" fillId="0" borderId="0" xfId="0" applyFont="1" applyAlignment="1">
      <alignment horizontal="center"/>
    </xf>
    <xf numFmtId="0" fontId="0" fillId="0" borderId="0" xfId="0" applyAlignment="1">
      <alignment horizontal="center"/>
    </xf>
    <xf numFmtId="0" fontId="0" fillId="0" borderId="22" xfId="0" applyBorder="1" applyAlignment="1">
      <alignment horizontal="center"/>
    </xf>
    <xf numFmtId="164" fontId="0" fillId="0" borderId="0" xfId="0" applyNumberFormat="1" applyAlignment="1">
      <alignment horizontal="center"/>
    </xf>
    <xf numFmtId="0" fontId="0" fillId="0" borderId="24" xfId="0" applyBorder="1" applyAlignment="1">
      <alignment horizontal="center"/>
    </xf>
    <xf numFmtId="2" fontId="0" fillId="0" borderId="0" xfId="0" applyNumberFormat="1" applyAlignment="1">
      <alignment horizontal="center"/>
    </xf>
    <xf numFmtId="2" fontId="10" fillId="0" borderId="0" xfId="0" applyNumberFormat="1" applyFont="1" applyAlignment="1">
      <alignment horizontal="center"/>
    </xf>
    <xf numFmtId="0" fontId="0" fillId="0" borderId="13" xfId="0" applyBorder="1" applyAlignment="1">
      <alignment horizontal="center"/>
    </xf>
    <xf numFmtId="164" fontId="0" fillId="0" borderId="20" xfId="0" applyNumberForma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3" xfId="0" applyBorder="1"/>
    <xf numFmtId="0" fontId="0" fillId="0" borderId="20" xfId="0" applyBorder="1"/>
    <xf numFmtId="0" fontId="0" fillId="0" borderId="25" xfId="0" applyBorder="1"/>
    <xf numFmtId="0" fontId="0" fillId="0" borderId="26" xfId="0" applyBorder="1"/>
    <xf numFmtId="0" fontId="10" fillId="0" borderId="25" xfId="0" applyFont="1" applyBorder="1" applyAlignment="1">
      <alignment horizontal="right"/>
    </xf>
    <xf numFmtId="2" fontId="12" fillId="0" borderId="27" xfId="0" applyNumberFormat="1" applyFont="1" applyBorder="1" applyAlignment="1">
      <alignment horizontal="center"/>
    </xf>
    <xf numFmtId="0" fontId="10" fillId="0" borderId="0" xfId="0" applyFont="1" applyAlignment="1">
      <alignment horizontal="right"/>
    </xf>
    <xf numFmtId="2" fontId="17" fillId="0" borderId="0" xfId="0" applyNumberFormat="1" applyFont="1"/>
    <xf numFmtId="2" fontId="12" fillId="0" borderId="0" xfId="0" applyNumberFormat="1" applyFont="1" applyAlignment="1">
      <alignment horizontal="center"/>
    </xf>
    <xf numFmtId="0" fontId="0" fillId="0" borderId="0" xfId="0" applyAlignment="1">
      <alignment horizontal="left" wrapText="1"/>
    </xf>
    <xf numFmtId="0" fontId="0" fillId="0" borderId="0" xfId="0" applyAlignment="1">
      <alignment wrapText="1"/>
    </xf>
    <xf numFmtId="2" fontId="17" fillId="0" borderId="10" xfId="0" applyNumberFormat="1" applyFont="1" applyBorder="1"/>
    <xf numFmtId="2" fontId="17" fillId="0" borderId="17" xfId="0" applyNumberFormat="1" applyFont="1" applyBorder="1"/>
    <xf numFmtId="2" fontId="17" fillId="0" borderId="18" xfId="0" applyNumberFormat="1" applyFont="1" applyBorder="1"/>
    <xf numFmtId="2" fontId="17" fillId="0" borderId="22" xfId="0" applyNumberFormat="1" applyFont="1" applyBorder="1"/>
    <xf numFmtId="2" fontId="17" fillId="0" borderId="24" xfId="0" applyNumberFormat="1" applyFont="1" applyBorder="1"/>
    <xf numFmtId="0" fontId="19" fillId="0" borderId="28" xfId="0" applyFont="1" applyBorder="1" applyAlignment="1">
      <alignment horizontal="center" wrapText="1"/>
    </xf>
    <xf numFmtId="2" fontId="17" fillId="0" borderId="13" xfId="0" applyNumberFormat="1" applyFont="1" applyBorder="1"/>
    <xf numFmtId="2" fontId="17" fillId="0" borderId="20" xfId="0" applyNumberFormat="1" applyFont="1" applyBorder="1"/>
    <xf numFmtId="2" fontId="17" fillId="0" borderId="21" xfId="0" applyNumberFormat="1" applyFont="1" applyBorder="1"/>
    <xf numFmtId="0" fontId="10" fillId="0" borderId="1" xfId="0" applyFont="1" applyBorder="1"/>
    <xf numFmtId="0" fontId="0" fillId="0" borderId="2" xfId="0" applyBorder="1"/>
    <xf numFmtId="0" fontId="0" fillId="0" borderId="3" xfId="0" applyBorder="1"/>
    <xf numFmtId="0" fontId="19" fillId="0" borderId="0" xfId="0" applyFont="1" applyAlignment="1">
      <alignment horizontal="left"/>
    </xf>
    <xf numFmtId="0" fontId="15" fillId="0" borderId="4" xfId="0" applyFont="1" applyBorder="1"/>
    <xf numFmtId="0" fontId="15" fillId="0" borderId="0" xfId="0" applyFont="1"/>
    <xf numFmtId="2" fontId="21" fillId="0" borderId="10" xfId="0" applyNumberFormat="1" applyFont="1" applyBorder="1"/>
    <xf numFmtId="2" fontId="21" fillId="0" borderId="17" xfId="0" applyNumberFormat="1" applyFont="1" applyBorder="1"/>
    <xf numFmtId="2" fontId="21" fillId="0" borderId="22" xfId="0" applyNumberFormat="1" applyFont="1" applyBorder="1"/>
    <xf numFmtId="2" fontId="21" fillId="0" borderId="0" xfId="0" applyNumberFormat="1" applyFont="1"/>
    <xf numFmtId="2" fontId="21" fillId="0" borderId="24" xfId="0" applyNumberFormat="1" applyFont="1" applyBorder="1"/>
    <xf numFmtId="164" fontId="15" fillId="0" borderId="4" xfId="0" applyNumberFormat="1" applyFont="1" applyBorder="1"/>
    <xf numFmtId="2" fontId="21" fillId="0" borderId="13" xfId="0" applyNumberFormat="1" applyFont="1" applyBorder="1"/>
    <xf numFmtId="2" fontId="21" fillId="0" borderId="20" xfId="0" applyNumberFormat="1" applyFont="1" applyBorder="1"/>
    <xf numFmtId="2" fontId="21" fillId="0" borderId="21" xfId="0" applyNumberFormat="1" applyFont="1" applyBorder="1"/>
    <xf numFmtId="0" fontId="21" fillId="0" borderId="0" xfId="0" applyFont="1"/>
    <xf numFmtId="0" fontId="21" fillId="0" borderId="5" xfId="0" applyFont="1" applyBorder="1"/>
    <xf numFmtId="0" fontId="10" fillId="0" borderId="14" xfId="0" applyFont="1" applyBorder="1" applyAlignment="1">
      <alignment horizontal="center" vertical="center" wrapText="1"/>
    </xf>
    <xf numFmtId="0" fontId="0" fillId="0" borderId="29" xfId="0" applyBorder="1" applyAlignment="1">
      <alignment horizontal="center"/>
    </xf>
    <xf numFmtId="0" fontId="0" fillId="0" borderId="30" xfId="0" applyBorder="1" applyAlignment="1">
      <alignment horizontal="center"/>
    </xf>
    <xf numFmtId="2" fontId="0" fillId="0" borderId="30" xfId="0" applyNumberFormat="1" applyBorder="1" applyAlignment="1">
      <alignment horizontal="center"/>
    </xf>
    <xf numFmtId="164" fontId="0" fillId="0" borderId="30" xfId="0" applyNumberFormat="1" applyBorder="1" applyAlignment="1">
      <alignment horizontal="center"/>
    </xf>
    <xf numFmtId="2" fontId="0" fillId="0" borderId="29" xfId="0" applyNumberFormat="1" applyBorder="1" applyAlignment="1">
      <alignment horizontal="center"/>
    </xf>
    <xf numFmtId="164" fontId="0" fillId="0" borderId="29" xfId="0" applyNumberFormat="1" applyBorder="1" applyAlignment="1">
      <alignment horizontal="center"/>
    </xf>
    <xf numFmtId="0" fontId="10" fillId="0" borderId="0" xfId="0" applyFont="1" applyAlignment="1">
      <alignment horizontal="center"/>
    </xf>
    <xf numFmtId="0" fontId="10" fillId="0" borderId="14" xfId="0" applyFont="1" applyBorder="1" applyAlignment="1">
      <alignment horizontal="left" vertical="center"/>
    </xf>
    <xf numFmtId="0" fontId="10" fillId="0" borderId="31" xfId="0" applyFont="1" applyBorder="1" applyAlignment="1">
      <alignment horizontal="center" vertical="center" wrapText="1"/>
    </xf>
    <xf numFmtId="164" fontId="10" fillId="0" borderId="30" xfId="0" applyNumberFormat="1" applyFont="1" applyBorder="1" applyAlignment="1">
      <alignment horizontal="center"/>
    </xf>
    <xf numFmtId="9" fontId="10" fillId="0" borderId="30" xfId="4" applyFont="1" applyBorder="1" applyAlignment="1">
      <alignment horizontal="center"/>
    </xf>
    <xf numFmtId="0" fontId="0" fillId="0" borderId="0" xfId="0" applyAlignment="1">
      <alignment horizontal="right"/>
    </xf>
    <xf numFmtId="0" fontId="10" fillId="0" borderId="29" xfId="0" applyFont="1" applyBorder="1" applyAlignment="1">
      <alignment horizontal="center"/>
    </xf>
    <xf numFmtId="0" fontId="25" fillId="0" borderId="0" xfId="0" applyFont="1" applyAlignment="1">
      <alignment horizontal="left"/>
    </xf>
    <xf numFmtId="164" fontId="10" fillId="0" borderId="0" xfId="0" applyNumberFormat="1" applyFont="1" applyAlignment="1">
      <alignment horizontal="center"/>
    </xf>
    <xf numFmtId="9" fontId="10" fillId="0" borderId="0" xfId="4" applyFont="1" applyFill="1" applyBorder="1" applyAlignment="1">
      <alignment horizontal="center"/>
    </xf>
    <xf numFmtId="2" fontId="10" fillId="0" borderId="0" xfId="4" applyNumberFormat="1" applyFont="1" applyFill="1" applyBorder="1" applyAlignment="1">
      <alignment horizontal="center"/>
    </xf>
    <xf numFmtId="0" fontId="10" fillId="0" borderId="0" xfId="0" applyFont="1" applyAlignment="1">
      <alignment horizontal="left"/>
    </xf>
    <xf numFmtId="0" fontId="0" fillId="2" borderId="30" xfId="0" applyFill="1" applyBorder="1" applyAlignment="1">
      <alignment horizontal="center"/>
    </xf>
    <xf numFmtId="2" fontId="10" fillId="2" borderId="30" xfId="0" applyNumberFormat="1" applyFont="1" applyFill="1" applyBorder="1" applyAlignment="1">
      <alignment horizontal="center"/>
    </xf>
    <xf numFmtId="164" fontId="0" fillId="2" borderId="30" xfId="0" applyNumberFormat="1" applyFill="1" applyBorder="1" applyAlignment="1">
      <alignment horizontal="center"/>
    </xf>
    <xf numFmtId="164" fontId="10" fillId="2" borderId="30" xfId="0" applyNumberFormat="1" applyFont="1" applyFill="1" applyBorder="1" applyAlignment="1">
      <alignment horizontal="center"/>
    </xf>
    <xf numFmtId="9" fontId="10" fillId="2" borderId="8" xfId="4" applyFont="1" applyFill="1" applyBorder="1" applyAlignment="1">
      <alignment horizontal="center"/>
    </xf>
    <xf numFmtId="0" fontId="0" fillId="2" borderId="29" xfId="0" applyFill="1" applyBorder="1" applyAlignment="1">
      <alignment horizontal="center"/>
    </xf>
    <xf numFmtId="2" fontId="10" fillId="2" borderId="29" xfId="0" applyNumberFormat="1" applyFont="1" applyFill="1" applyBorder="1" applyAlignment="1">
      <alignment horizontal="center"/>
    </xf>
    <xf numFmtId="164" fontId="0" fillId="2" borderId="29" xfId="0" applyNumberFormat="1" applyFill="1" applyBorder="1" applyAlignment="1">
      <alignment horizontal="center"/>
    </xf>
    <xf numFmtId="164" fontId="10" fillId="2" borderId="29" xfId="0" applyNumberFormat="1" applyFont="1" applyFill="1" applyBorder="1" applyAlignment="1">
      <alignment horizontal="center"/>
    </xf>
    <xf numFmtId="9" fontId="10" fillId="2" borderId="30" xfId="4" applyFont="1" applyFill="1" applyBorder="1" applyAlignment="1">
      <alignment horizontal="center"/>
    </xf>
    <xf numFmtId="2" fontId="10" fillId="0" borderId="29" xfId="0" applyNumberFormat="1" applyFont="1" applyBorder="1" applyAlignment="1">
      <alignment horizontal="center"/>
    </xf>
    <xf numFmtId="0" fontId="27" fillId="0" borderId="1" xfId="0" applyFont="1" applyBorder="1"/>
    <xf numFmtId="0" fontId="26" fillId="0" borderId="2"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 fontId="10" fillId="0" borderId="30" xfId="4" applyNumberFormat="1" applyFont="1" applyBorder="1" applyAlignment="1">
      <alignment horizontal="center"/>
    </xf>
    <xf numFmtId="0" fontId="29" fillId="0" borderId="28" xfId="0" applyFont="1" applyBorder="1" applyAlignment="1">
      <alignment horizontal="center" wrapText="1"/>
    </xf>
    <xf numFmtId="9" fontId="29" fillId="0" borderId="28" xfId="0" applyNumberFormat="1" applyFont="1" applyBorder="1" applyAlignment="1">
      <alignment horizontal="center" wrapText="1"/>
    </xf>
    <xf numFmtId="0" fontId="12" fillId="0" borderId="28" xfId="0" applyFont="1" applyBorder="1" applyAlignment="1">
      <alignment horizontal="center" wrapText="1"/>
    </xf>
    <xf numFmtId="9" fontId="12" fillId="0" borderId="28" xfId="0" applyNumberFormat="1" applyFont="1" applyBorder="1" applyAlignment="1">
      <alignment horizontal="center"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30" fillId="0" borderId="0" xfId="0" applyFont="1" applyAlignment="1">
      <alignment horizontal="center" vertical="top" wrapText="1"/>
    </xf>
    <xf numFmtId="0" fontId="0" fillId="0" borderId="20" xfId="0" applyBorder="1" applyAlignment="1">
      <alignment horizontal="center" vertical="top" wrapText="1"/>
    </xf>
    <xf numFmtId="0" fontId="8" fillId="0" borderId="20" xfId="0" applyFont="1" applyBorder="1" applyAlignment="1">
      <alignment horizontal="center" vertical="top" wrapText="1"/>
    </xf>
    <xf numFmtId="164" fontId="30" fillId="0" borderId="0" xfId="0" applyNumberFormat="1" applyFont="1" applyAlignment="1">
      <alignment horizontal="center" vertical="top" wrapText="1"/>
    </xf>
    <xf numFmtId="164" fontId="30" fillId="0" borderId="20" xfId="0" applyNumberFormat="1" applyFont="1" applyBorder="1" applyAlignment="1">
      <alignment horizontal="center" vertical="top" wrapText="1"/>
    </xf>
    <xf numFmtId="164" fontId="0" fillId="0" borderId="13" xfId="0" applyNumberForma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8" fillId="0" borderId="20" xfId="0" applyFont="1" applyBorder="1" applyAlignment="1">
      <alignment horizontal="center"/>
    </xf>
    <xf numFmtId="0" fontId="12" fillId="0" borderId="4" xfId="0" applyFont="1" applyBorder="1"/>
    <xf numFmtId="0" fontId="10" fillId="0" borderId="0" xfId="0" applyFont="1" applyAlignment="1">
      <alignment horizontal="center" wrapText="1"/>
    </xf>
    <xf numFmtId="164" fontId="0" fillId="0" borderId="24" xfId="0" applyNumberFormat="1" applyBorder="1" applyAlignment="1">
      <alignment horizontal="center"/>
    </xf>
    <xf numFmtId="1" fontId="0" fillId="0" borderId="22" xfId="0" applyNumberFormat="1" applyBorder="1" applyAlignment="1">
      <alignment horizontal="center"/>
    </xf>
    <xf numFmtId="164" fontId="0" fillId="0" borderId="0" xfId="0" applyNumberFormat="1"/>
    <xf numFmtId="0" fontId="0" fillId="0" borderId="0" xfId="0" applyAlignment="1">
      <alignment horizontal="left"/>
    </xf>
    <xf numFmtId="0" fontId="16" fillId="0" borderId="0" xfId="0" applyFont="1" applyAlignment="1">
      <alignment horizontal="center"/>
    </xf>
    <xf numFmtId="0" fontId="18" fillId="0" borderId="32" xfId="1" applyFont="1" applyBorder="1" applyAlignment="1" applyProtection="1">
      <alignment horizontal="center"/>
    </xf>
    <xf numFmtId="0" fontId="11" fillId="0" borderId="0" xfId="0" applyFont="1" applyAlignment="1">
      <alignment horizontal="center"/>
    </xf>
    <xf numFmtId="0" fontId="11" fillId="0" borderId="33" xfId="0" applyFont="1" applyBorder="1" applyAlignment="1">
      <alignment horizontal="center"/>
    </xf>
    <xf numFmtId="0" fontId="11" fillId="0" borderId="0" xfId="0" applyFont="1" applyAlignment="1">
      <alignment horizontal="left"/>
    </xf>
    <xf numFmtId="2" fontId="19" fillId="0" borderId="28" xfId="0" applyNumberFormat="1" applyFont="1" applyBorder="1" applyAlignment="1">
      <alignment horizontal="center" wrapText="1"/>
    </xf>
    <xf numFmtId="166" fontId="0" fillId="0" borderId="0" xfId="0" applyNumberFormat="1" applyAlignment="1">
      <alignment horizontal="center"/>
    </xf>
    <xf numFmtId="9" fontId="29" fillId="0" borderId="0" xfId="0" applyNumberFormat="1" applyFont="1" applyAlignment="1">
      <alignment horizontal="center" wrapText="1"/>
    </xf>
    <xf numFmtId="0" fontId="26" fillId="0" borderId="0" xfId="0" applyFont="1" applyAlignment="1">
      <alignment horizontal="left"/>
    </xf>
    <xf numFmtId="0" fontId="0" fillId="3" borderId="0" xfId="0" applyFill="1"/>
    <xf numFmtId="164" fontId="0" fillId="0" borderId="2" xfId="0" applyNumberFormat="1" applyBorder="1" applyAlignment="1">
      <alignment horizontal="center"/>
    </xf>
    <xf numFmtId="166" fontId="0" fillId="0" borderId="2" xfId="0" applyNumberFormat="1" applyBorder="1" applyAlignment="1">
      <alignment horizontal="center"/>
    </xf>
    <xf numFmtId="9" fontId="29" fillId="0" borderId="3" xfId="0" applyNumberFormat="1" applyFont="1" applyBorder="1" applyAlignment="1">
      <alignment horizontal="center" wrapText="1"/>
    </xf>
    <xf numFmtId="9" fontId="29" fillId="0" borderId="5" xfId="0" applyNumberFormat="1" applyFont="1" applyBorder="1" applyAlignment="1">
      <alignment horizontal="center" wrapText="1"/>
    </xf>
    <xf numFmtId="164" fontId="0" fillId="0" borderId="7" xfId="0" applyNumberFormat="1" applyBorder="1" applyAlignment="1">
      <alignment horizontal="center"/>
    </xf>
    <xf numFmtId="166" fontId="0" fillId="0" borderId="7" xfId="0" applyNumberFormat="1" applyBorder="1" applyAlignment="1">
      <alignment horizontal="center"/>
    </xf>
    <xf numFmtId="9" fontId="29" fillId="0" borderId="8" xfId="0" applyNumberFormat="1" applyFont="1" applyBorder="1" applyAlignment="1">
      <alignment horizontal="center" wrapText="1"/>
    </xf>
    <xf numFmtId="164" fontId="0" fillId="0" borderId="1" xfId="0" applyNumberFormat="1" applyBorder="1" applyAlignment="1">
      <alignment horizontal="right"/>
    </xf>
    <xf numFmtId="0" fontId="0" fillId="0" borderId="2" xfId="0" applyBorder="1" applyAlignment="1">
      <alignment horizontal="right"/>
    </xf>
    <xf numFmtId="164" fontId="0" fillId="0" borderId="2" xfId="0" applyNumberFormat="1" applyBorder="1" applyAlignment="1">
      <alignment horizontal="right"/>
    </xf>
    <xf numFmtId="166" fontId="0" fillId="0" borderId="2" xfId="0" applyNumberFormat="1" applyBorder="1" applyAlignment="1">
      <alignment horizontal="right"/>
    </xf>
    <xf numFmtId="9" fontId="29" fillId="0" borderId="3" xfId="0" applyNumberFormat="1" applyFont="1" applyBorder="1" applyAlignment="1">
      <alignment horizontal="right" wrapText="1"/>
    </xf>
    <xf numFmtId="164" fontId="0" fillId="0" borderId="4" xfId="0" applyNumberFormat="1" applyBorder="1" applyAlignment="1">
      <alignment horizontal="right"/>
    </xf>
    <xf numFmtId="164" fontId="0" fillId="0" borderId="0" xfId="0" applyNumberFormat="1" applyAlignment="1">
      <alignment horizontal="right"/>
    </xf>
    <xf numFmtId="166" fontId="0" fillId="0" borderId="0" xfId="0" applyNumberFormat="1" applyAlignment="1">
      <alignment horizontal="right"/>
    </xf>
    <xf numFmtId="9" fontId="29" fillId="0" borderId="5" xfId="0" applyNumberFormat="1" applyFont="1" applyBorder="1" applyAlignment="1">
      <alignment horizontal="right" wrapText="1"/>
    </xf>
    <xf numFmtId="164" fontId="0" fillId="0" borderId="6" xfId="0" applyNumberFormat="1" applyBorder="1" applyAlignment="1">
      <alignment horizontal="right"/>
    </xf>
    <xf numFmtId="0" fontId="0" fillId="0" borderId="7" xfId="0" applyBorder="1" applyAlignment="1">
      <alignment horizontal="right"/>
    </xf>
    <xf numFmtId="164" fontId="0" fillId="0" borderId="7" xfId="0" applyNumberFormat="1" applyBorder="1" applyAlignment="1">
      <alignment horizontal="right"/>
    </xf>
    <xf numFmtId="166" fontId="0" fillId="0" borderId="7" xfId="0" applyNumberFormat="1" applyBorder="1" applyAlignment="1">
      <alignment horizontal="right"/>
    </xf>
    <xf numFmtId="9" fontId="29" fillId="0" borderId="8" xfId="0" applyNumberFormat="1" applyFont="1" applyBorder="1" applyAlignment="1">
      <alignment horizontal="right"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2" fillId="0" borderId="17" xfId="0" applyFont="1" applyBorder="1"/>
    <xf numFmtId="0" fontId="17" fillId="0" borderId="0" xfId="0" applyFont="1"/>
    <xf numFmtId="0" fontId="12" fillId="0" borderId="18" xfId="0" applyFont="1" applyBorder="1"/>
    <xf numFmtId="0" fontId="12" fillId="0" borderId="22" xfId="0" applyFont="1" applyBorder="1"/>
    <xf numFmtId="2" fontId="4" fillId="0" borderId="0" xfId="0" applyNumberFormat="1" applyFont="1" applyAlignment="1">
      <alignment horizontal="center" wrapText="1"/>
    </xf>
    <xf numFmtId="2" fontId="4" fillId="0" borderId="24" xfId="0" applyNumberFormat="1" applyFont="1" applyBorder="1" applyAlignment="1">
      <alignment horizontal="center" wrapText="1"/>
    </xf>
    <xf numFmtId="0" fontId="10" fillId="0" borderId="22" xfId="0" applyFont="1" applyBorder="1"/>
    <xf numFmtId="0" fontId="10" fillId="0" borderId="20" xfId="0" applyFont="1" applyBorder="1" applyAlignment="1">
      <alignment horizontal="right"/>
    </xf>
    <xf numFmtId="0" fontId="10" fillId="0" borderId="21" xfId="0" applyFont="1" applyBorder="1" applyAlignment="1">
      <alignment horizontal="right"/>
    </xf>
    <xf numFmtId="2" fontId="4" fillId="0" borderId="22" xfId="0" applyNumberFormat="1" applyFont="1" applyBorder="1" applyAlignment="1">
      <alignment horizontal="center" wrapText="1"/>
    </xf>
    <xf numFmtId="164" fontId="10" fillId="0" borderId="0" xfId="0" applyNumberFormat="1" applyFont="1"/>
    <xf numFmtId="164" fontId="10" fillId="0" borderId="24" xfId="0" applyNumberFormat="1" applyFont="1" applyBorder="1"/>
    <xf numFmtId="0" fontId="10" fillId="0" borderId="13" xfId="0" applyFont="1" applyBorder="1"/>
    <xf numFmtId="164" fontId="10" fillId="0" borderId="20" xfId="0" applyNumberFormat="1" applyFont="1" applyBorder="1"/>
    <xf numFmtId="164" fontId="10" fillId="0" borderId="21" xfId="0" applyNumberFormat="1" applyFont="1" applyBorder="1"/>
    <xf numFmtId="2" fontId="0" fillId="0" borderId="0" xfId="0" applyNumberFormat="1"/>
    <xf numFmtId="0" fontId="0" fillId="0" borderId="0" xfId="0" applyAlignment="1">
      <alignment horizontal="center" wrapText="1"/>
    </xf>
    <xf numFmtId="0" fontId="0" fillId="0" borderId="18" xfId="0" applyBorder="1" applyAlignment="1">
      <alignment horizontal="center"/>
    </xf>
    <xf numFmtId="167" fontId="29" fillId="0" borderId="3" xfId="0" applyNumberFormat="1" applyFont="1" applyBorder="1" applyAlignment="1">
      <alignment horizontal="center" wrapText="1"/>
    </xf>
    <xf numFmtId="9" fontId="29" fillId="0" borderId="0" xfId="0" applyNumberFormat="1" applyFont="1" applyAlignment="1">
      <alignment horizontal="right" wrapText="1"/>
    </xf>
    <xf numFmtId="167" fontId="29" fillId="0" borderId="5" xfId="0" applyNumberFormat="1" applyFont="1" applyBorder="1" applyAlignment="1">
      <alignment horizontal="center" wrapText="1"/>
    </xf>
    <xf numFmtId="167" fontId="29" fillId="0" borderId="8" xfId="0" applyNumberFormat="1" applyFont="1" applyBorder="1" applyAlignment="1">
      <alignment horizontal="center" wrapText="1"/>
    </xf>
    <xf numFmtId="167" fontId="29" fillId="0" borderId="3" xfId="0" applyNumberFormat="1" applyFont="1" applyBorder="1" applyAlignment="1">
      <alignment horizontal="right" wrapText="1"/>
    </xf>
    <xf numFmtId="167" fontId="29" fillId="0" borderId="5" xfId="0" applyNumberFormat="1" applyFont="1" applyBorder="1" applyAlignment="1">
      <alignment horizontal="right" wrapText="1"/>
    </xf>
    <xf numFmtId="167" fontId="29" fillId="0" borderId="8" xfId="0" applyNumberFormat="1" applyFont="1" applyBorder="1" applyAlignment="1">
      <alignment horizontal="right" wrapText="1"/>
    </xf>
    <xf numFmtId="0" fontId="0" fillId="0" borderId="10" xfId="0" applyBorder="1" applyAlignment="1">
      <alignment horizontal="center"/>
    </xf>
    <xf numFmtId="0" fontId="12" fillId="0" borderId="17" xfId="0" applyFont="1" applyBorder="1" applyAlignment="1">
      <alignment horizontal="center"/>
    </xf>
    <xf numFmtId="0" fontId="0" fillId="0" borderId="24" xfId="0" applyBorder="1"/>
    <xf numFmtId="0" fontId="0" fillId="0" borderId="22" xfId="0" applyBorder="1"/>
    <xf numFmtId="0" fontId="10" fillId="0" borderId="24" xfId="0" applyFont="1" applyBorder="1" applyAlignment="1">
      <alignment horizontal="center"/>
    </xf>
    <xf numFmtId="166" fontId="0" fillId="0" borderId="34" xfId="0" applyNumberFormat="1" applyBorder="1" applyAlignment="1">
      <alignment horizontal="center"/>
    </xf>
    <xf numFmtId="167" fontId="29" fillId="0" borderId="35" xfId="0" applyNumberFormat="1" applyFont="1" applyBorder="1" applyAlignment="1">
      <alignment horizontal="center" wrapText="1"/>
    </xf>
    <xf numFmtId="166" fontId="0" fillId="0" borderId="22" xfId="0" applyNumberFormat="1" applyBorder="1" applyAlignment="1">
      <alignment horizontal="center"/>
    </xf>
    <xf numFmtId="167" fontId="29" fillId="0" borderId="24" xfId="0" applyNumberFormat="1" applyFont="1" applyBorder="1" applyAlignment="1">
      <alignment horizontal="center" wrapText="1"/>
    </xf>
    <xf numFmtId="166" fontId="0" fillId="0" borderId="23" xfId="0" applyNumberFormat="1" applyBorder="1" applyAlignment="1">
      <alignment horizontal="center"/>
    </xf>
    <xf numFmtId="167" fontId="29" fillId="0" borderId="36" xfId="0" applyNumberFormat="1" applyFont="1" applyBorder="1" applyAlignment="1">
      <alignment horizontal="center" wrapText="1"/>
    </xf>
    <xf numFmtId="166" fontId="0" fillId="0" borderId="34" xfId="0" applyNumberFormat="1" applyBorder="1" applyAlignment="1">
      <alignment horizontal="right"/>
    </xf>
    <xf numFmtId="167" fontId="29" fillId="0" borderId="35" xfId="0" applyNumberFormat="1" applyFont="1" applyBorder="1" applyAlignment="1">
      <alignment horizontal="right" wrapText="1"/>
    </xf>
    <xf numFmtId="166" fontId="0" fillId="0" borderId="22" xfId="0" applyNumberFormat="1" applyBorder="1" applyAlignment="1">
      <alignment horizontal="right"/>
    </xf>
    <xf numFmtId="167" fontId="29" fillId="0" borderId="24" xfId="0" applyNumberFormat="1" applyFont="1" applyBorder="1" applyAlignment="1">
      <alignment horizontal="right" wrapText="1"/>
    </xf>
    <xf numFmtId="166" fontId="0" fillId="0" borderId="13" xfId="0" applyNumberFormat="1" applyBorder="1" applyAlignment="1">
      <alignment horizontal="right"/>
    </xf>
    <xf numFmtId="9" fontId="29" fillId="0" borderId="37" xfId="0" applyNumberFormat="1" applyFont="1" applyBorder="1" applyAlignment="1">
      <alignment horizontal="right" wrapText="1"/>
    </xf>
    <xf numFmtId="167" fontId="29" fillId="0" borderId="21" xfId="0" applyNumberFormat="1" applyFont="1" applyBorder="1" applyAlignment="1">
      <alignment horizontal="right" wrapText="1"/>
    </xf>
    <xf numFmtId="2" fontId="19" fillId="0" borderId="0" xfId="0" applyNumberFormat="1" applyFont="1" applyAlignment="1">
      <alignment horizontal="center" wrapText="1"/>
    </xf>
    <xf numFmtId="0" fontId="0" fillId="0" borderId="10" xfId="0" applyBorder="1"/>
    <xf numFmtId="0" fontId="10" fillId="0" borderId="17" xfId="0" applyFont="1" applyBorder="1" applyAlignment="1">
      <alignment horizontal="center"/>
    </xf>
    <xf numFmtId="0" fontId="10" fillId="0" borderId="18" xfId="0" applyFont="1" applyBorder="1" applyAlignment="1">
      <alignment horizontal="center"/>
    </xf>
    <xf numFmtId="0" fontId="12" fillId="0" borderId="0" xfId="0" applyFont="1" applyAlignment="1">
      <alignment horizontal="left"/>
    </xf>
    <xf numFmtId="0" fontId="15" fillId="0" borderId="10" xfId="3" applyFont="1" applyBorder="1" applyAlignment="1">
      <alignment horizontal="center"/>
    </xf>
    <xf numFmtId="0" fontId="15" fillId="0" borderId="17" xfId="3" applyFont="1" applyBorder="1" applyAlignment="1">
      <alignment horizontal="center"/>
    </xf>
    <xf numFmtId="0" fontId="15" fillId="0" borderId="17" xfId="3" applyFont="1" applyBorder="1"/>
    <xf numFmtId="0" fontId="16" fillId="0" borderId="17" xfId="3" applyFont="1" applyBorder="1"/>
    <xf numFmtId="0" fontId="16" fillId="0" borderId="0" xfId="3" applyFont="1"/>
    <xf numFmtId="0" fontId="34" fillId="0" borderId="1" xfId="3" applyFont="1" applyBorder="1" applyAlignment="1">
      <alignment horizontal="center"/>
    </xf>
    <xf numFmtId="0" fontId="15" fillId="0" borderId="2" xfId="3" applyFont="1" applyBorder="1" applyAlignment="1">
      <alignment horizontal="center"/>
    </xf>
    <xf numFmtId="0" fontId="15" fillId="0" borderId="4" xfId="3" applyFont="1" applyBorder="1" applyAlignment="1">
      <alignment horizontal="center"/>
    </xf>
    <xf numFmtId="0" fontId="15" fillId="0" borderId="0" xfId="3" applyFont="1" applyAlignment="1">
      <alignment horizontal="center"/>
    </xf>
    <xf numFmtId="0" fontId="15" fillId="0" borderId="1" xfId="3" applyFont="1" applyBorder="1" applyAlignment="1">
      <alignment horizontal="left"/>
    </xf>
    <xf numFmtId="0" fontId="15" fillId="0" borderId="3" xfId="3" applyFont="1" applyBorder="1"/>
    <xf numFmtId="0" fontId="15" fillId="0" borderId="3" xfId="3" applyFont="1" applyBorder="1" applyAlignment="1">
      <alignment horizontal="left"/>
    </xf>
    <xf numFmtId="0" fontId="15" fillId="0" borderId="6" xfId="3" applyFont="1" applyBorder="1" applyAlignment="1">
      <alignment horizontal="center"/>
    </xf>
    <xf numFmtId="0" fontId="15" fillId="0" borderId="7" xfId="3" applyFont="1" applyBorder="1" applyAlignment="1">
      <alignment horizontal="center"/>
    </xf>
    <xf numFmtId="0" fontId="15" fillId="0" borderId="8" xfId="3" applyFont="1" applyBorder="1" applyAlignment="1">
      <alignment horizontal="center"/>
    </xf>
    <xf numFmtId="0" fontId="15" fillId="0" borderId="6" xfId="3" applyFont="1" applyBorder="1" applyAlignment="1">
      <alignment horizontal="right"/>
    </xf>
    <xf numFmtId="0" fontId="15" fillId="0" borderId="8" xfId="3" applyFont="1" applyBorder="1" applyAlignment="1">
      <alignment horizontal="right"/>
    </xf>
    <xf numFmtId="0" fontId="16" fillId="0" borderId="4" xfId="3" applyFont="1" applyBorder="1" applyAlignment="1">
      <alignment horizontal="left"/>
    </xf>
    <xf numFmtId="0" fontId="16" fillId="0" borderId="0" xfId="3" applyFont="1" applyAlignment="1">
      <alignment horizontal="center"/>
    </xf>
    <xf numFmtId="168" fontId="16" fillId="0" borderId="0" xfId="3" applyNumberFormat="1" applyFont="1" applyAlignment="1">
      <alignment horizontal="center"/>
    </xf>
    <xf numFmtId="2" fontId="16" fillId="0" borderId="1" xfId="3" applyNumberFormat="1" applyFont="1" applyBorder="1"/>
    <xf numFmtId="1" fontId="15" fillId="0" borderId="3" xfId="3" applyNumberFormat="1" applyFont="1" applyBorder="1"/>
    <xf numFmtId="2" fontId="16" fillId="0" borderId="0" xfId="3" applyNumberFormat="1" applyFont="1"/>
    <xf numFmtId="2" fontId="16" fillId="0" borderId="4" xfId="3" applyNumberFormat="1" applyFont="1" applyBorder="1"/>
    <xf numFmtId="1" fontId="15" fillId="0" borderId="5" xfId="3" applyNumberFormat="1" applyFont="1" applyBorder="1"/>
    <xf numFmtId="0" fontId="11" fillId="0" borderId="0" xfId="3" applyFont="1" applyAlignment="1">
      <alignment horizontal="center"/>
    </xf>
    <xf numFmtId="0" fontId="16" fillId="0" borderId="19" xfId="3" applyFont="1" applyBorder="1" applyAlignment="1">
      <alignment horizontal="left"/>
    </xf>
    <xf numFmtId="0" fontId="16" fillId="0" borderId="20" xfId="3" applyFont="1" applyBorder="1" applyAlignment="1">
      <alignment horizontal="center"/>
    </xf>
    <xf numFmtId="168" fontId="16" fillId="0" borderId="20" xfId="3" applyNumberFormat="1" applyFont="1" applyBorder="1" applyAlignment="1">
      <alignment horizontal="center"/>
    </xf>
    <xf numFmtId="2" fontId="16" fillId="0" borderId="19" xfId="3" applyNumberFormat="1" applyFont="1" applyBorder="1"/>
    <xf numFmtId="1" fontId="15" fillId="0" borderId="37" xfId="3" applyNumberFormat="1" applyFont="1" applyBorder="1"/>
    <xf numFmtId="2" fontId="16" fillId="0" borderId="20" xfId="3" applyNumberFormat="1" applyFont="1" applyBorder="1"/>
    <xf numFmtId="0" fontId="11" fillId="0" borderId="4" xfId="3" applyFont="1" applyBorder="1" applyAlignment="1">
      <alignment horizontal="left"/>
    </xf>
    <xf numFmtId="0" fontId="16" fillId="0" borderId="5" xfId="3" applyFont="1" applyBorder="1"/>
    <xf numFmtId="0" fontId="25" fillId="0" borderId="6" xfId="3" applyFont="1" applyBorder="1" applyAlignment="1">
      <alignment horizontal="left"/>
    </xf>
    <xf numFmtId="0" fontId="16" fillId="0" borderId="7" xfId="3" applyFont="1" applyBorder="1" applyAlignment="1">
      <alignment horizontal="center"/>
    </xf>
    <xf numFmtId="0" fontId="16" fillId="0" borderId="7" xfId="3" applyFont="1" applyBorder="1"/>
    <xf numFmtId="0" fontId="16" fillId="0" borderId="8" xfId="3" applyFont="1" applyBorder="1"/>
    <xf numFmtId="0" fontId="23" fillId="0" borderId="9" xfId="0" applyFont="1" applyBorder="1" applyAlignment="1">
      <alignment horizontal="center" vertical="center" wrapText="1"/>
    </xf>
    <xf numFmtId="0" fontId="37" fillId="0" borderId="0" xfId="0" applyFont="1"/>
    <xf numFmtId="0" fontId="10" fillId="0" borderId="30" xfId="0" applyFont="1" applyBorder="1" applyAlignment="1">
      <alignment horizontal="center"/>
    </xf>
    <xf numFmtId="9" fontId="10" fillId="0" borderId="30" xfId="4" applyFont="1" applyFill="1" applyBorder="1" applyAlignment="1">
      <alignment horizontal="center"/>
    </xf>
    <xf numFmtId="0" fontId="17" fillId="4" borderId="1" xfId="0" applyFont="1" applyFill="1" applyBorder="1"/>
    <xf numFmtId="0" fontId="17" fillId="4" borderId="2" xfId="0" applyFont="1" applyFill="1" applyBorder="1"/>
    <xf numFmtId="0" fontId="26" fillId="4" borderId="2" xfId="0" applyFont="1" applyFill="1" applyBorder="1" applyAlignment="1">
      <alignment horizontal="center"/>
    </xf>
    <xf numFmtId="0" fontId="17" fillId="4" borderId="3" xfId="0" applyFont="1" applyFill="1" applyBorder="1"/>
    <xf numFmtId="0" fontId="17" fillId="4" borderId="4" xfId="0" applyFont="1" applyFill="1" applyBorder="1"/>
    <xf numFmtId="0" fontId="17" fillId="4" borderId="0" xfId="0" applyFont="1" applyFill="1"/>
    <xf numFmtId="0" fontId="17" fillId="4" borderId="5" xfId="0" applyFont="1" applyFill="1" applyBorder="1"/>
    <xf numFmtId="164" fontId="17" fillId="5" borderId="4" xfId="0" applyNumberFormat="1" applyFont="1" applyFill="1" applyBorder="1"/>
    <xf numFmtId="0" fontId="11" fillId="0" borderId="0" xfId="0" applyFont="1" applyAlignment="1">
      <alignment wrapText="1"/>
    </xf>
    <xf numFmtId="0" fontId="30" fillId="0" borderId="0" xfId="0" quotePrefix="1" applyFont="1" applyAlignment="1">
      <alignment horizontal="center" vertical="top" wrapText="1"/>
    </xf>
    <xf numFmtId="0" fontId="30" fillId="0" borderId="20" xfId="0" quotePrefix="1" applyFont="1" applyBorder="1" applyAlignment="1">
      <alignment horizontal="center" vertical="top" wrapText="1"/>
    </xf>
    <xf numFmtId="0" fontId="6" fillId="0" borderId="38" xfId="0" applyFont="1" applyBorder="1" applyAlignment="1">
      <alignment horizontal="right"/>
    </xf>
    <xf numFmtId="0" fontId="6" fillId="0" borderId="39" xfId="0" quotePrefix="1" applyFont="1" applyBorder="1" applyAlignment="1">
      <alignment horizontal="right"/>
    </xf>
    <xf numFmtId="0" fontId="6" fillId="0" borderId="39" xfId="0"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 fillId="0" borderId="10" xfId="0" applyFont="1" applyBorder="1"/>
    <xf numFmtId="0" fontId="6" fillId="0" borderId="18" xfId="0" applyFont="1" applyBorder="1"/>
    <xf numFmtId="2" fontId="6" fillId="0" borderId="22" xfId="0" applyNumberFormat="1" applyFont="1" applyBorder="1" applyAlignment="1">
      <alignment horizontal="center"/>
    </xf>
    <xf numFmtId="0" fontId="6" fillId="0" borderId="24" xfId="0" applyFont="1" applyBorder="1"/>
    <xf numFmtId="2" fontId="6" fillId="0" borderId="24" xfId="0" applyNumberFormat="1" applyFont="1" applyBorder="1" applyAlignment="1">
      <alignment horizontal="center"/>
    </xf>
    <xf numFmtId="2" fontId="6" fillId="0" borderId="13" xfId="0" applyNumberFormat="1" applyFont="1" applyBorder="1" applyAlignment="1">
      <alignment horizontal="center"/>
    </xf>
    <xf numFmtId="2" fontId="6" fillId="0" borderId="21" xfId="0" applyNumberFormat="1" applyFont="1" applyBorder="1" applyAlignment="1">
      <alignment horizontal="center"/>
    </xf>
    <xf numFmtId="164" fontId="0" fillId="0" borderId="10"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64" fontId="0" fillId="0" borderId="22" xfId="0" applyNumberFormat="1" applyBorder="1" applyAlignment="1">
      <alignment horizontal="center"/>
    </xf>
    <xf numFmtId="164" fontId="0" fillId="0" borderId="21" xfId="0" applyNumberFormat="1" applyBorder="1" applyAlignment="1">
      <alignment horizontal="center"/>
    </xf>
    <xf numFmtId="0" fontId="10" fillId="0" borderId="10" xfId="0" applyFont="1" applyBorder="1"/>
    <xf numFmtId="0" fontId="10" fillId="0" borderId="17" xfId="0" applyFont="1" applyBorder="1"/>
    <xf numFmtId="0" fontId="10" fillId="0" borderId="18" xfId="0" applyFont="1" applyBorder="1"/>
    <xf numFmtId="0" fontId="10" fillId="0" borderId="13"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164" fontId="0" fillId="4" borderId="0" xfId="0" applyNumberFormat="1" applyFill="1" applyAlignment="1">
      <alignment horizontal="center"/>
    </xf>
    <xf numFmtId="0" fontId="4" fillId="4" borderId="0" xfId="0" applyFont="1" applyFill="1" applyAlignment="1">
      <alignment horizontal="center"/>
    </xf>
    <xf numFmtId="164" fontId="3" fillId="4" borderId="2" xfId="0" applyNumberFormat="1" applyFont="1" applyFill="1" applyBorder="1"/>
    <xf numFmtId="164" fontId="3" fillId="4" borderId="17" xfId="0" applyNumberFormat="1" applyFont="1" applyFill="1" applyBorder="1"/>
    <xf numFmtId="164" fontId="3" fillId="4" borderId="20" xfId="0" applyNumberFormat="1" applyFont="1" applyFill="1" applyBorder="1"/>
    <xf numFmtId="0" fontId="6" fillId="0" borderId="0" xfId="0" applyFont="1" applyAlignment="1">
      <alignment horizontal="right"/>
    </xf>
    <xf numFmtId="0" fontId="11" fillId="0" borderId="0" xfId="0" applyFont="1"/>
    <xf numFmtId="0" fontId="6" fillId="0" borderId="0" xfId="0" quotePrefix="1" applyFont="1" applyAlignment="1">
      <alignment horizontal="right"/>
    </xf>
    <xf numFmtId="2" fontId="6" fillId="0" borderId="0" xfId="0" applyNumberFormat="1" applyFont="1" applyAlignment="1">
      <alignment horizontal="center"/>
    </xf>
    <xf numFmtId="2" fontId="29" fillId="0" borderId="0" xfId="4" applyNumberFormat="1" applyFont="1" applyFill="1" applyBorder="1" applyAlignment="1">
      <alignment horizontal="right" wrapText="1"/>
    </xf>
    <xf numFmtId="165" fontId="29" fillId="0" borderId="0" xfId="4" applyNumberFormat="1" applyFont="1" applyFill="1" applyBorder="1" applyAlignment="1">
      <alignment horizontal="right" wrapText="1"/>
    </xf>
    <xf numFmtId="0" fontId="10" fillId="0" borderId="10" xfId="0" applyFont="1" applyBorder="1" applyAlignment="1">
      <alignment horizontal="center"/>
    </xf>
    <xf numFmtId="164" fontId="15" fillId="0" borderId="17" xfId="0" applyNumberFormat="1" applyFont="1" applyBorder="1" applyAlignment="1">
      <alignment horizontal="center"/>
    </xf>
    <xf numFmtId="167" fontId="10" fillId="0" borderId="18" xfId="4" applyNumberFormat="1" applyFont="1" applyFill="1" applyBorder="1" applyAlignment="1">
      <alignment horizontal="center"/>
    </xf>
    <xf numFmtId="164" fontId="10" fillId="0" borderId="13" xfId="0" applyNumberFormat="1" applyFont="1" applyBorder="1" applyAlignment="1">
      <alignment horizontal="center"/>
    </xf>
    <xf numFmtId="164" fontId="15" fillId="0" borderId="20" xfId="0" applyNumberFormat="1" applyFont="1" applyBorder="1" applyAlignment="1">
      <alignment horizontal="center"/>
    </xf>
    <xf numFmtId="167" fontId="10" fillId="0" borderId="21" xfId="4" applyNumberFormat="1" applyFont="1" applyFill="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12" fillId="0" borderId="10" xfId="0" applyFont="1" applyBorder="1"/>
    <xf numFmtId="0" fontId="12" fillId="0" borderId="18" xfId="0" applyFont="1" applyBorder="1" applyAlignment="1">
      <alignment horizontal="center"/>
    </xf>
    <xf numFmtId="0" fontId="12" fillId="0" borderId="13" xfId="0" applyFont="1" applyBorder="1" applyAlignment="1">
      <alignment horizontal="right"/>
    </xf>
    <xf numFmtId="167" fontId="12" fillId="0" borderId="20" xfId="4" applyNumberFormat="1" applyFont="1" applyBorder="1" applyAlignment="1">
      <alignment horizontal="center"/>
    </xf>
    <xf numFmtId="167" fontId="12" fillId="0" borderId="21" xfId="4" applyNumberFormat="1" applyFont="1" applyBorder="1" applyAlignment="1">
      <alignment horizontal="center"/>
    </xf>
    <xf numFmtId="0" fontId="0" fillId="0" borderId="17" xfId="0" applyBorder="1"/>
    <xf numFmtId="0" fontId="0" fillId="0" borderId="18" xfId="0" applyBorder="1"/>
    <xf numFmtId="0" fontId="38" fillId="0" borderId="0" xfId="0" quotePrefix="1" applyFont="1"/>
    <xf numFmtId="0" fontId="26" fillId="0" borderId="0" xfId="0" applyFont="1"/>
    <xf numFmtId="2" fontId="39" fillId="0" borderId="0" xfId="0" applyNumberFormat="1" applyFont="1"/>
    <xf numFmtId="0" fontId="15" fillId="0" borderId="24" xfId="0" applyFont="1" applyBorder="1"/>
    <xf numFmtId="0" fontId="0" fillId="0" borderId="21" xfId="0" applyBorder="1"/>
    <xf numFmtId="0" fontId="0" fillId="0" borderId="17" xfId="0" applyBorder="1" applyAlignment="1">
      <alignment horizontal="center"/>
    </xf>
    <xf numFmtId="0" fontId="40" fillId="0" borderId="10" xfId="0" applyFont="1" applyBorder="1" applyAlignment="1">
      <alignment horizontal="center"/>
    </xf>
    <xf numFmtId="0" fontId="40" fillId="0" borderId="22" xfId="0" applyFont="1" applyBorder="1" applyAlignment="1">
      <alignment horizontal="center"/>
    </xf>
    <xf numFmtId="0" fontId="40" fillId="0" borderId="13" xfId="0" applyFont="1" applyBorder="1" applyAlignment="1">
      <alignment horizontal="center"/>
    </xf>
    <xf numFmtId="0" fontId="4" fillId="4" borderId="7" xfId="0" applyFont="1" applyFill="1" applyBorder="1" applyAlignment="1">
      <alignment horizontal="center"/>
    </xf>
    <xf numFmtId="0" fontId="0" fillId="4" borderId="0" xfId="0" applyFill="1" applyAlignment="1">
      <alignment horizontal="center"/>
    </xf>
    <xf numFmtId="2" fontId="10" fillId="4" borderId="0" xfId="0" applyNumberFormat="1" applyFont="1" applyFill="1" applyAlignment="1">
      <alignment horizontal="center"/>
    </xf>
    <xf numFmtId="2" fontId="12" fillId="4" borderId="27" xfId="0" applyNumberFormat="1" applyFont="1" applyFill="1" applyBorder="1" applyAlignment="1">
      <alignment horizontal="center"/>
    </xf>
    <xf numFmtId="0" fontId="0" fillId="4" borderId="20" xfId="0" applyFill="1" applyBorder="1" applyAlignment="1">
      <alignment horizontal="center"/>
    </xf>
    <xf numFmtId="2" fontId="0" fillId="0" borderId="20" xfId="0" applyNumberFormat="1" applyBorder="1" applyAlignment="1">
      <alignment horizontal="center"/>
    </xf>
    <xf numFmtId="2" fontId="10" fillId="0" borderId="20" xfId="0" applyNumberFormat="1" applyFont="1" applyBorder="1" applyAlignment="1">
      <alignment horizontal="center"/>
    </xf>
    <xf numFmtId="2" fontId="10" fillId="4" borderId="20" xfId="0" applyNumberFormat="1" applyFont="1" applyFill="1" applyBorder="1" applyAlignment="1">
      <alignment horizontal="center"/>
    </xf>
    <xf numFmtId="0" fontId="0" fillId="4" borderId="26" xfId="0" applyFill="1" applyBorder="1"/>
    <xf numFmtId="0" fontId="0" fillId="4" borderId="25" xfId="0" applyFill="1" applyBorder="1"/>
    <xf numFmtId="0" fontId="10" fillId="4" borderId="25" xfId="0" applyFont="1" applyFill="1" applyBorder="1" applyAlignment="1">
      <alignment horizontal="right"/>
    </xf>
    <xf numFmtId="0" fontId="1" fillId="0" borderId="0" xfId="5"/>
    <xf numFmtId="0" fontId="11" fillId="0" borderId="0" xfId="6"/>
    <xf numFmtId="0" fontId="3" fillId="0" borderId="0" xfId="6" applyFont="1" applyAlignment="1">
      <alignment horizontal="center"/>
    </xf>
    <xf numFmtId="0" fontId="10" fillId="0" borderId="0" xfId="6" applyFont="1"/>
    <xf numFmtId="0" fontId="41" fillId="0" borderId="0" xfId="6" applyFont="1"/>
    <xf numFmtId="0" fontId="12" fillId="0" borderId="0" xfId="6" applyFont="1" applyAlignment="1">
      <alignment horizontal="right"/>
    </xf>
    <xf numFmtId="0" fontId="40" fillId="0" borderId="20" xfId="5" applyFont="1" applyBorder="1"/>
    <xf numFmtId="0" fontId="40" fillId="0" borderId="0" xfId="5" applyFont="1"/>
    <xf numFmtId="0" fontId="40" fillId="0" borderId="0" xfId="5" applyFont="1" applyAlignment="1">
      <alignment horizontal="right"/>
    </xf>
    <xf numFmtId="2" fontId="40" fillId="0" borderId="0" xfId="5" applyNumberFormat="1" applyFont="1" applyAlignment="1">
      <alignment horizontal="center"/>
    </xf>
    <xf numFmtId="0" fontId="42" fillId="4" borderId="10" xfId="5" applyFont="1" applyFill="1" applyBorder="1"/>
    <xf numFmtId="0" fontId="42" fillId="4" borderId="17" xfId="5" applyFont="1" applyFill="1" applyBorder="1"/>
    <xf numFmtId="0" fontId="42" fillId="4" borderId="18" xfId="5" applyFont="1" applyFill="1" applyBorder="1"/>
    <xf numFmtId="0" fontId="42" fillId="4" borderId="22" xfId="5" applyFont="1" applyFill="1" applyBorder="1"/>
    <xf numFmtId="0" fontId="42" fillId="4" borderId="24" xfId="5" applyFont="1" applyFill="1" applyBorder="1" applyAlignment="1">
      <alignment horizontal="center"/>
    </xf>
    <xf numFmtId="0" fontId="42" fillId="4" borderId="13" xfId="5" applyFont="1" applyFill="1" applyBorder="1"/>
    <xf numFmtId="0" fontId="42" fillId="4" borderId="20" xfId="5" applyFont="1" applyFill="1" applyBorder="1"/>
    <xf numFmtId="0" fontId="43" fillId="0" borderId="0" xfId="5" applyFont="1"/>
    <xf numFmtId="0" fontId="12" fillId="0" borderId="0" xfId="6" applyFont="1" applyAlignment="1">
      <alignment horizontal="center"/>
    </xf>
    <xf numFmtId="0" fontId="40" fillId="0" borderId="0" xfId="5" applyFont="1" applyAlignment="1">
      <alignment horizontal="center"/>
    </xf>
    <xf numFmtId="0" fontId="10" fillId="0" borderId="47" xfId="0" applyFont="1" applyBorder="1" applyAlignment="1">
      <alignment horizontal="center" wrapText="1"/>
    </xf>
    <xf numFmtId="1" fontId="10" fillId="0" borderId="0" xfId="0" applyNumberFormat="1" applyFont="1" applyAlignment="1">
      <alignment horizontal="center"/>
    </xf>
    <xf numFmtId="0" fontId="10" fillId="0" borderId="20" xfId="0" applyFont="1" applyBorder="1"/>
    <xf numFmtId="1" fontId="10" fillId="0" borderId="20" xfId="0" applyNumberFormat="1" applyFont="1" applyBorder="1" applyAlignment="1">
      <alignment horizontal="center"/>
    </xf>
    <xf numFmtId="0" fontId="42" fillId="4" borderId="0" xfId="5" applyFont="1" applyFill="1"/>
    <xf numFmtId="0" fontId="42" fillId="4" borderId="0" xfId="5" applyFont="1" applyFill="1" applyAlignment="1">
      <alignment horizontal="center"/>
    </xf>
    <xf numFmtId="1" fontId="40" fillId="0" borderId="0" xfId="5" applyNumberFormat="1" applyFont="1" applyAlignment="1">
      <alignment horizontal="center"/>
    </xf>
    <xf numFmtId="0" fontId="42" fillId="4" borderId="0" xfId="5" applyFont="1" applyFill="1" applyAlignment="1">
      <alignment horizontal="right"/>
    </xf>
    <xf numFmtId="0" fontId="45" fillId="4" borderId="20" xfId="5" applyFont="1" applyFill="1" applyBorder="1" applyAlignment="1">
      <alignment horizontal="right"/>
    </xf>
    <xf numFmtId="2" fontId="45" fillId="4" borderId="26" xfId="5" applyNumberFormat="1" applyFont="1" applyFill="1" applyBorder="1" applyAlignment="1">
      <alignment horizontal="center"/>
    </xf>
    <xf numFmtId="164" fontId="45" fillId="4" borderId="25" xfId="5" applyNumberFormat="1" applyFont="1" applyFill="1" applyBorder="1" applyAlignment="1">
      <alignment horizontal="center"/>
    </xf>
    <xf numFmtId="1" fontId="45" fillId="4" borderId="27" xfId="5" applyNumberFormat="1" applyFont="1" applyFill="1" applyBorder="1" applyAlignment="1">
      <alignment horizontal="center"/>
    </xf>
    <xf numFmtId="0" fontId="12" fillId="4" borderId="0" xfId="0" applyFont="1" applyFill="1"/>
    <xf numFmtId="0" fontId="12" fillId="4" borderId="0" xfId="0" applyFont="1" applyFill="1" applyAlignment="1">
      <alignment horizontal="center"/>
    </xf>
    <xf numFmtId="0" fontId="12" fillId="4" borderId="46" xfId="0" applyFont="1" applyFill="1" applyBorder="1" applyAlignment="1">
      <alignment horizontal="center"/>
    </xf>
    <xf numFmtId="1" fontId="12" fillId="4" borderId="0" xfId="0" applyNumberFormat="1" applyFont="1" applyFill="1" applyAlignment="1">
      <alignment horizontal="center"/>
    </xf>
    <xf numFmtId="0" fontId="42" fillId="0" borderId="0" xfId="5" applyFont="1" applyAlignment="1">
      <alignment horizontal="right"/>
    </xf>
    <xf numFmtId="0" fontId="42" fillId="0" borderId="0" xfId="5" applyFont="1" applyAlignment="1">
      <alignment horizontal="center"/>
    </xf>
    <xf numFmtId="164" fontId="40" fillId="0" borderId="0" xfId="5" applyNumberFormat="1" applyFont="1" applyAlignment="1">
      <alignment horizontal="center"/>
    </xf>
    <xf numFmtId="9" fontId="12" fillId="0" borderId="0" xfId="4" applyFont="1" applyAlignment="1">
      <alignment horizontal="center"/>
    </xf>
    <xf numFmtId="0" fontId="12" fillId="6" borderId="0" xfId="0" applyFont="1" applyFill="1"/>
    <xf numFmtId="0" fontId="12" fillId="6" borderId="0" xfId="0" applyFont="1" applyFill="1" applyAlignment="1">
      <alignment horizontal="center"/>
    </xf>
    <xf numFmtId="0" fontId="12" fillId="6" borderId="46" xfId="0" applyFont="1" applyFill="1" applyBorder="1" applyAlignment="1">
      <alignment horizontal="center"/>
    </xf>
    <xf numFmtId="1" fontId="12" fillId="6" borderId="0" xfId="0" applyNumberFormat="1" applyFont="1" applyFill="1" applyAlignment="1">
      <alignment horizontal="center"/>
    </xf>
    <xf numFmtId="0" fontId="42" fillId="6" borderId="10" xfId="5" applyFont="1" applyFill="1" applyBorder="1"/>
    <xf numFmtId="0" fontId="42" fillId="6" borderId="17" xfId="5" applyFont="1" applyFill="1" applyBorder="1"/>
    <xf numFmtId="0" fontId="42" fillId="6" borderId="18" xfId="5" applyFont="1" applyFill="1" applyBorder="1"/>
    <xf numFmtId="0" fontId="42" fillId="6" borderId="22" xfId="5" applyFont="1" applyFill="1" applyBorder="1"/>
    <xf numFmtId="0" fontId="42" fillId="6" borderId="0" xfId="5" applyFont="1" applyFill="1"/>
    <xf numFmtId="0" fontId="42" fillId="6" borderId="0" xfId="5" applyFont="1" applyFill="1" applyAlignment="1">
      <alignment horizontal="right"/>
    </xf>
    <xf numFmtId="0" fontId="42" fillId="6" borderId="0" xfId="5" applyFont="1" applyFill="1" applyAlignment="1">
      <alignment horizontal="center"/>
    </xf>
    <xf numFmtId="0" fontId="42" fillId="6" borderId="24" xfId="5" applyFont="1" applyFill="1" applyBorder="1" applyAlignment="1">
      <alignment horizontal="center"/>
    </xf>
    <xf numFmtId="0" fontId="42" fillId="6" borderId="13" xfId="5" applyFont="1" applyFill="1" applyBorder="1"/>
    <xf numFmtId="0" fontId="42" fillId="6" borderId="20" xfId="5" applyFont="1" applyFill="1" applyBorder="1"/>
    <xf numFmtId="0" fontId="45" fillId="6" borderId="20" xfId="5" applyFont="1" applyFill="1" applyBorder="1" applyAlignment="1">
      <alignment horizontal="right"/>
    </xf>
    <xf numFmtId="2" fontId="45" fillId="6" borderId="26" xfId="5" applyNumberFormat="1" applyFont="1" applyFill="1" applyBorder="1" applyAlignment="1">
      <alignment horizontal="center"/>
    </xf>
    <xf numFmtId="164" fontId="45" fillId="6" borderId="25" xfId="5" applyNumberFormat="1" applyFont="1" applyFill="1" applyBorder="1" applyAlignment="1">
      <alignment horizontal="center"/>
    </xf>
    <xf numFmtId="1" fontId="45" fillId="6" borderId="27" xfId="5" applyNumberFormat="1" applyFont="1" applyFill="1" applyBorder="1" applyAlignment="1">
      <alignment horizontal="center"/>
    </xf>
    <xf numFmtId="0" fontId="15" fillId="0" borderId="41" xfId="3" applyFont="1" applyBorder="1" applyAlignment="1">
      <alignment horizontal="center" wrapText="1"/>
    </xf>
    <xf numFmtId="0" fontId="35" fillId="0" borderId="42" xfId="2" applyBorder="1" applyAlignment="1">
      <alignment horizontal="center" wrapText="1"/>
    </xf>
    <xf numFmtId="0" fontId="35" fillId="0" borderId="43" xfId="2" applyBorder="1" applyAlignment="1">
      <alignment horizontal="center" wrapText="1"/>
    </xf>
    <xf numFmtId="0" fontId="7" fillId="0" borderId="0" xfId="0" applyFont="1" applyAlignment="1">
      <alignment horizontal="center" wrapText="1"/>
    </xf>
    <xf numFmtId="0" fontId="26" fillId="0" borderId="1" xfId="0" applyFont="1" applyBorder="1" applyAlignment="1">
      <alignment horizontal="right" wrapText="1"/>
    </xf>
    <xf numFmtId="0" fontId="0" fillId="0" borderId="2" xfId="0" applyBorder="1" applyAlignment="1">
      <alignment horizontal="right" wrapText="1"/>
    </xf>
    <xf numFmtId="0" fontId="0" fillId="0" borderId="3" xfId="0" applyBorder="1" applyAlignment="1">
      <alignment horizontal="right" wrapText="1"/>
    </xf>
    <xf numFmtId="0" fontId="0" fillId="0" borderId="4" xfId="0" applyBorder="1" applyAlignment="1">
      <alignment horizontal="right" wrapText="1"/>
    </xf>
    <xf numFmtId="0" fontId="0" fillId="0" borderId="0" xfId="0" applyAlignment="1">
      <alignment horizontal="right" wrapText="1"/>
    </xf>
    <xf numFmtId="0" fontId="0" fillId="0" borderId="5" xfId="0" applyBorder="1" applyAlignment="1">
      <alignment horizontal="right" wrapText="1"/>
    </xf>
    <xf numFmtId="0" fontId="10" fillId="0" borderId="0" xfId="0" applyFont="1" applyAlignment="1">
      <alignment horizontal="center" wrapText="1"/>
    </xf>
    <xf numFmtId="0" fontId="4" fillId="0" borderId="10"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0" xfId="0" applyFont="1" applyAlignment="1">
      <alignment horizontal="center" wrapText="1"/>
    </xf>
    <xf numFmtId="0" fontId="4" fillId="0" borderId="7" xfId="0" applyFont="1" applyBorder="1" applyAlignment="1">
      <alignment horizontal="center" wrapText="1"/>
    </xf>
    <xf numFmtId="0" fontId="0" fillId="0" borderId="0" xfId="0"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0" fillId="0" borderId="7" xfId="0" applyBorder="1" applyAlignment="1">
      <alignment horizontal="center" wrapText="1"/>
    </xf>
    <xf numFmtId="0" fontId="4" fillId="4" borderId="0" xfId="0" applyFont="1" applyFill="1" applyAlignment="1">
      <alignment horizontal="center" wrapText="1"/>
    </xf>
    <xf numFmtId="0" fontId="4" fillId="4" borderId="7" xfId="0" applyFont="1" applyFill="1" applyBorder="1" applyAlignment="1">
      <alignment horizontal="center" wrapText="1"/>
    </xf>
    <xf numFmtId="0" fontId="1" fillId="0" borderId="0" xfId="5" applyAlignment="1">
      <alignment wrapText="1"/>
    </xf>
    <xf numFmtId="0" fontId="0" fillId="0" borderId="0" xfId="0" applyAlignment="1">
      <alignment wrapText="1"/>
    </xf>
    <xf numFmtId="0" fontId="12" fillId="0" borderId="0" xfId="0" applyFont="1" applyAlignment="1">
      <alignment wrapText="1"/>
    </xf>
    <xf numFmtId="0" fontId="12" fillId="0" borderId="24" xfId="0" applyFont="1" applyBorder="1" applyAlignment="1">
      <alignment wrapText="1"/>
    </xf>
    <xf numFmtId="0" fontId="13" fillId="0" borderId="0" xfId="1" applyAlignment="1" applyProtection="1">
      <alignment horizontal="left" wrapText="1"/>
    </xf>
    <xf numFmtId="0" fontId="19" fillId="0" borderId="0" xfId="0" applyFont="1" applyAlignment="1">
      <alignment horizontal="left" wrapText="1"/>
    </xf>
    <xf numFmtId="0" fontId="26" fillId="0" borderId="4" xfId="0" applyFont="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15" fillId="0" borderId="7" xfId="0" applyFont="1" applyBorder="1" applyAlignment="1">
      <alignment wrapText="1"/>
    </xf>
    <xf numFmtId="0" fontId="0" fillId="0" borderId="7" xfId="0" applyBorder="1" applyAlignment="1">
      <alignment wrapText="1"/>
    </xf>
    <xf numFmtId="0" fontId="12" fillId="0" borderId="1" xfId="0" applyFont="1" applyBorder="1" applyAlignment="1">
      <alignment wrapText="1"/>
    </xf>
    <xf numFmtId="0" fontId="12" fillId="0" borderId="2" xfId="0" applyFont="1" applyBorder="1" applyAlignment="1">
      <alignment wrapText="1"/>
    </xf>
    <xf numFmtId="0" fontId="13" fillId="0" borderId="44" xfId="1" applyBorder="1" applyAlignment="1" applyProtection="1">
      <alignment horizontal="left" wrapText="1"/>
    </xf>
    <xf numFmtId="0" fontId="13" fillId="0" borderId="0" xfId="1" applyBorder="1" applyAlignment="1" applyProtection="1">
      <alignment horizontal="left" wrapText="1"/>
    </xf>
    <xf numFmtId="0" fontId="0" fillId="0" borderId="0" xfId="0" applyAlignment="1">
      <alignment horizontal="left" wrapText="1"/>
    </xf>
    <xf numFmtId="0" fontId="20" fillId="0" borderId="0" xfId="0" applyFont="1" applyAlignment="1">
      <alignment wrapText="1"/>
    </xf>
    <xf numFmtId="0" fontId="12" fillId="0" borderId="32" xfId="0" applyFont="1" applyBorder="1" applyAlignment="1">
      <alignment horizontal="center" wrapText="1"/>
    </xf>
    <xf numFmtId="0" fontId="28" fillId="0" borderId="0" xfId="0" applyFont="1" applyAlignment="1">
      <alignment wrapText="1"/>
    </xf>
    <xf numFmtId="0" fontId="28" fillId="0" borderId="33" xfId="0" applyFont="1" applyBorder="1" applyAlignment="1">
      <alignment wrapText="1"/>
    </xf>
    <xf numFmtId="0" fontId="21" fillId="0" borderId="9" xfId="0" applyFont="1" applyBorder="1" applyAlignment="1">
      <alignment horizontal="right" wrapText="1"/>
    </xf>
    <xf numFmtId="0" fontId="21" fillId="0" borderId="45" xfId="0" applyFont="1" applyBorder="1" applyAlignment="1">
      <alignment wrapText="1"/>
    </xf>
    <xf numFmtId="0" fontId="12" fillId="0" borderId="7" xfId="0" applyFont="1" applyBorder="1" applyAlignment="1">
      <alignment wrapText="1"/>
    </xf>
    <xf numFmtId="0" fontId="28" fillId="0" borderId="7" xfId="0" applyFont="1" applyBorder="1" applyAlignment="1">
      <alignment wrapText="1"/>
    </xf>
    <xf numFmtId="0" fontId="16" fillId="0" borderId="4" xfId="0" applyFont="1" applyBorder="1" applyAlignment="1">
      <alignment wrapText="1"/>
    </xf>
    <xf numFmtId="0" fontId="15" fillId="0" borderId="0" xfId="0" applyFont="1" applyAlignment="1">
      <alignment wrapText="1"/>
    </xf>
    <xf numFmtId="0" fontId="15" fillId="0" borderId="5" xfId="0" applyFont="1" applyBorder="1" applyAlignment="1">
      <alignment wrapText="1"/>
    </xf>
    <xf numFmtId="0" fontId="15" fillId="0" borderId="6" xfId="0" applyFont="1" applyBorder="1" applyAlignment="1">
      <alignment wrapText="1"/>
    </xf>
    <xf numFmtId="0" fontId="15" fillId="0" borderId="8" xfId="0" applyFont="1" applyBorder="1" applyAlignment="1">
      <alignment wrapText="1"/>
    </xf>
    <xf numFmtId="0" fontId="17" fillId="5" borderId="9" xfId="0" applyFont="1" applyFill="1" applyBorder="1" applyAlignment="1">
      <alignment horizontal="right" wrapText="1"/>
    </xf>
    <xf numFmtId="0" fontId="17" fillId="5" borderId="45" xfId="0" applyFont="1" applyFill="1" applyBorder="1" applyAlignment="1">
      <alignment wrapText="1"/>
    </xf>
    <xf numFmtId="0" fontId="12" fillId="0" borderId="0" xfId="0" applyFont="1" applyAlignment="1">
      <alignment horizontal="center" wrapText="1"/>
    </xf>
    <xf numFmtId="0" fontId="12" fillId="0" borderId="33" xfId="0" applyFont="1" applyBorder="1" applyAlignment="1">
      <alignment horizontal="center" wrapText="1"/>
    </xf>
    <xf numFmtId="0" fontId="11" fillId="0" borderId="20" xfId="0" applyFont="1" applyBorder="1" applyAlignment="1">
      <alignment wrapText="1"/>
    </xf>
    <xf numFmtId="0" fontId="0" fillId="0" borderId="20" xfId="0" applyBorder="1" applyAlignment="1">
      <alignment wrapText="1"/>
    </xf>
    <xf numFmtId="0" fontId="0" fillId="0" borderId="22" xfId="0" applyBorder="1" applyAlignment="1">
      <alignment horizontal="center" wrapText="1"/>
    </xf>
    <xf numFmtId="0" fontId="26" fillId="0" borderId="1" xfId="0" applyFon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25" fillId="0" borderId="2" xfId="0" applyFont="1" applyBorder="1" applyAlignment="1">
      <alignment horizontal="left" wrapText="1"/>
    </xf>
    <xf numFmtId="0" fontId="11" fillId="0" borderId="2" xfId="0" applyFont="1" applyBorder="1" applyAlignment="1">
      <alignment wrapText="1"/>
    </xf>
    <xf numFmtId="0" fontId="11" fillId="0" borderId="0" xfId="0" applyFont="1" applyAlignment="1">
      <alignment wrapText="1"/>
    </xf>
    <xf numFmtId="0" fontId="1" fillId="0" borderId="10" xfId="5" applyBorder="1"/>
    <xf numFmtId="0" fontId="1" fillId="0" borderId="17" xfId="5" applyBorder="1"/>
    <xf numFmtId="0" fontId="1" fillId="0" borderId="18" xfId="5" applyBorder="1"/>
    <xf numFmtId="0" fontId="1" fillId="0" borderId="22" xfId="5" applyBorder="1"/>
    <xf numFmtId="0" fontId="1" fillId="0" borderId="0" xfId="5" applyBorder="1"/>
    <xf numFmtId="0" fontId="1" fillId="0" borderId="24" xfId="5" applyBorder="1"/>
    <xf numFmtId="0" fontId="0" fillId="0" borderId="0" xfId="0" applyBorder="1"/>
    <xf numFmtId="0" fontId="40" fillId="0" borderId="0" xfId="0" applyFont="1" applyBorder="1" applyAlignment="1">
      <alignment horizontal="center" wrapText="1"/>
    </xf>
    <xf numFmtId="0" fontId="40" fillId="0" borderId="0" xfId="0" applyFont="1" applyBorder="1" applyAlignment="1">
      <alignment horizontal="right"/>
    </xf>
    <xf numFmtId="0" fontId="42" fillId="0" borderId="20" xfId="0" applyFont="1" applyBorder="1" applyAlignment="1">
      <alignment horizontal="right"/>
    </xf>
    <xf numFmtId="2" fontId="42" fillId="0" borderId="20" xfId="0" applyNumberFormat="1" applyFont="1" applyBorder="1" applyAlignment="1">
      <alignment horizontal="center"/>
    </xf>
    <xf numFmtId="1" fontId="42" fillId="0" borderId="20" xfId="0" applyNumberFormat="1" applyFont="1" applyBorder="1" applyAlignment="1">
      <alignment horizontal="center"/>
    </xf>
    <xf numFmtId="164" fontId="42" fillId="0" borderId="20" xfId="0" applyNumberFormat="1" applyFont="1" applyBorder="1" applyAlignment="1">
      <alignment horizontal="center"/>
    </xf>
    <xf numFmtId="0" fontId="1" fillId="0" borderId="21" xfId="5" applyBorder="1"/>
  </cellXfs>
  <cellStyles count="7">
    <cellStyle name="Hyperlink" xfId="1" builtinId="8"/>
    <cellStyle name="Normal" xfId="0" builtinId="0"/>
    <cellStyle name="Normal 2" xfId="2" xr:uid="{00000000-0005-0000-0000-000002000000}"/>
    <cellStyle name="Normal 2 2" xfId="6" xr:uid="{822B6E05-C0AB-4C03-A4F3-AA60CE8009FD}"/>
    <cellStyle name="Normal 3" xfId="5" xr:uid="{256D8DD2-8659-4F48-B8FC-1DC374922941}"/>
    <cellStyle name="Normal_Calcium Amend Cost" xfId="3" xr:uid="{00000000-0005-0000-0000-000003000000}"/>
    <cellStyle name="Percent" xfId="4" builtinId="5"/>
  </cellStyles>
  <dxfs count="0"/>
  <tableStyles count="0" defaultTableStyle="TableStyleMedium2" defaultPivotStyle="PivotStyleLight16"/>
  <colors>
    <mruColors>
      <color rgb="FFC5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9801017652576"/>
          <c:y val="7.4050418915976121E-2"/>
          <c:w val="0.80512758558609787"/>
          <c:h val="0.78765544590768943"/>
        </c:manualLayout>
      </c:layout>
      <c:scatterChart>
        <c:scatterStyle val="smoothMarker"/>
        <c:varyColors val="0"/>
        <c:ser>
          <c:idx val="0"/>
          <c:order val="0"/>
          <c:tx>
            <c:strRef>
              <c:f>'Leaching Calcs'!$T$7</c:f>
              <c:strCache>
                <c:ptCount val="1"/>
                <c:pt idx="0">
                  <c:v>k (sprinkler) = 0.15</c:v>
                </c:pt>
              </c:strCache>
            </c:strRef>
          </c:tx>
          <c:marker>
            <c:symbol val="diamond"/>
            <c:size val="5"/>
            <c:spPr>
              <a:solidFill>
                <a:srgbClr val="000080"/>
              </a:solidFill>
              <a:ln>
                <a:solidFill>
                  <a:srgbClr val="000080"/>
                </a:solidFill>
                <a:prstDash val="solid"/>
              </a:ln>
            </c:spPr>
          </c:marker>
          <c:xVal>
            <c:numRef>
              <c:f>'Leaching Calcs'!$S$8:$S$17</c:f>
              <c:numCache>
                <c:formatCode>General</c:formatCode>
                <c:ptCount val="10"/>
                <c:pt idx="0">
                  <c:v>0.1</c:v>
                </c:pt>
                <c:pt idx="1">
                  <c:v>0.2</c:v>
                </c:pt>
                <c:pt idx="2">
                  <c:v>0.3</c:v>
                </c:pt>
                <c:pt idx="3">
                  <c:v>0.4</c:v>
                </c:pt>
                <c:pt idx="4">
                  <c:v>0.5</c:v>
                </c:pt>
                <c:pt idx="5">
                  <c:v>0.6</c:v>
                </c:pt>
                <c:pt idx="6">
                  <c:v>0.7</c:v>
                </c:pt>
                <c:pt idx="7">
                  <c:v>0.79999999999999993</c:v>
                </c:pt>
                <c:pt idx="8">
                  <c:v>0.89999999999999991</c:v>
                </c:pt>
                <c:pt idx="9">
                  <c:v>0.99999999999999989</c:v>
                </c:pt>
              </c:numCache>
            </c:numRef>
          </c:xVal>
          <c:yVal>
            <c:numRef>
              <c:f>'Leaching Calcs'!$T$8:$T$17</c:f>
              <c:numCache>
                <c:formatCode>0.00</c:formatCode>
                <c:ptCount val="10"/>
                <c:pt idx="1">
                  <c:v>0.74999999999999989</c:v>
                </c:pt>
                <c:pt idx="2">
                  <c:v>0.5</c:v>
                </c:pt>
                <c:pt idx="3">
                  <c:v>0.37499999999999994</c:v>
                </c:pt>
                <c:pt idx="4">
                  <c:v>0.3</c:v>
                </c:pt>
                <c:pt idx="5">
                  <c:v>0.25</c:v>
                </c:pt>
                <c:pt idx="6">
                  <c:v>0.2142857142857143</c:v>
                </c:pt>
                <c:pt idx="7">
                  <c:v>0.1875</c:v>
                </c:pt>
                <c:pt idx="8">
                  <c:v>0.16666666666666669</c:v>
                </c:pt>
                <c:pt idx="9">
                  <c:v>0.15000000000000002</c:v>
                </c:pt>
              </c:numCache>
            </c:numRef>
          </c:yVal>
          <c:smooth val="1"/>
          <c:extLst>
            <c:ext xmlns:c16="http://schemas.microsoft.com/office/drawing/2014/chart" uri="{C3380CC4-5D6E-409C-BE32-E72D297353CC}">
              <c16:uniqueId val="{00000000-B10D-4AF5-860F-370731411EF8}"/>
            </c:ext>
          </c:extLst>
        </c:ser>
        <c:ser>
          <c:idx val="1"/>
          <c:order val="1"/>
          <c:tx>
            <c:strRef>
              <c:f>'Leaching Calcs'!$U$7</c:f>
              <c:strCache>
                <c:ptCount val="1"/>
                <c:pt idx="0">
                  <c:v>k (flood) = 0.3</c:v>
                </c:pt>
              </c:strCache>
            </c:strRef>
          </c:tx>
          <c:marker>
            <c:symbol val="square"/>
            <c:size val="5"/>
            <c:spPr>
              <a:solidFill>
                <a:srgbClr val="FF00FF"/>
              </a:solidFill>
              <a:ln>
                <a:solidFill>
                  <a:srgbClr val="FF00FF"/>
                </a:solidFill>
                <a:prstDash val="solid"/>
              </a:ln>
            </c:spPr>
          </c:marker>
          <c:xVal>
            <c:numRef>
              <c:f>'Leaching Calcs'!$S$8:$S$17</c:f>
              <c:numCache>
                <c:formatCode>General</c:formatCode>
                <c:ptCount val="10"/>
                <c:pt idx="0">
                  <c:v>0.1</c:v>
                </c:pt>
                <c:pt idx="1">
                  <c:v>0.2</c:v>
                </c:pt>
                <c:pt idx="2">
                  <c:v>0.3</c:v>
                </c:pt>
                <c:pt idx="3">
                  <c:v>0.4</c:v>
                </c:pt>
                <c:pt idx="4">
                  <c:v>0.5</c:v>
                </c:pt>
                <c:pt idx="5">
                  <c:v>0.6</c:v>
                </c:pt>
                <c:pt idx="6">
                  <c:v>0.7</c:v>
                </c:pt>
                <c:pt idx="7">
                  <c:v>0.79999999999999993</c:v>
                </c:pt>
                <c:pt idx="8">
                  <c:v>0.89999999999999991</c:v>
                </c:pt>
                <c:pt idx="9">
                  <c:v>0.99999999999999989</c:v>
                </c:pt>
              </c:numCache>
            </c:numRef>
          </c:xVal>
          <c:yVal>
            <c:numRef>
              <c:f>'Leaching Calcs'!$U$8:$U$17</c:f>
              <c:numCache>
                <c:formatCode>0.00</c:formatCode>
                <c:ptCount val="10"/>
                <c:pt idx="2">
                  <c:v>1</c:v>
                </c:pt>
                <c:pt idx="3">
                  <c:v>0.74999999999999989</c:v>
                </c:pt>
                <c:pt idx="4">
                  <c:v>0.6</c:v>
                </c:pt>
                <c:pt idx="5">
                  <c:v>0.5</c:v>
                </c:pt>
                <c:pt idx="6">
                  <c:v>0.4285714285714286</c:v>
                </c:pt>
                <c:pt idx="7">
                  <c:v>0.375</c:v>
                </c:pt>
                <c:pt idx="8">
                  <c:v>0.33333333333333337</c:v>
                </c:pt>
                <c:pt idx="9">
                  <c:v>0.30000000000000004</c:v>
                </c:pt>
              </c:numCache>
            </c:numRef>
          </c:yVal>
          <c:smooth val="1"/>
          <c:extLst>
            <c:ext xmlns:c16="http://schemas.microsoft.com/office/drawing/2014/chart" uri="{C3380CC4-5D6E-409C-BE32-E72D297353CC}">
              <c16:uniqueId val="{00000001-B10D-4AF5-860F-370731411EF8}"/>
            </c:ext>
          </c:extLst>
        </c:ser>
        <c:dLbls>
          <c:showLegendKey val="0"/>
          <c:showVal val="0"/>
          <c:showCatName val="0"/>
          <c:showSerName val="0"/>
          <c:showPercent val="0"/>
          <c:showBubbleSize val="0"/>
        </c:dLbls>
        <c:axId val="154671792"/>
        <c:axId val="154672352"/>
      </c:scatterChart>
      <c:valAx>
        <c:axId val="154671792"/>
        <c:scaling>
          <c:orientation val="minMax"/>
          <c:max val="1.1000000000000001"/>
          <c:min val="0"/>
        </c:scaling>
        <c:delete val="0"/>
        <c:axPos val="b"/>
        <c:title>
          <c:tx>
            <c:rich>
              <a:bodyPr/>
              <a:lstStyle/>
              <a:p>
                <a:pPr>
                  <a:defRPr sz="950" b="1" i="0" u="none" strike="noStrike" baseline="0">
                    <a:solidFill>
                      <a:srgbClr val="000000"/>
                    </a:solidFill>
                    <a:latin typeface="Arial"/>
                    <a:ea typeface="Arial"/>
                    <a:cs typeface="Arial"/>
                  </a:defRPr>
                </a:pPr>
                <a:r>
                  <a:rPr lang="en-US"/>
                  <a:t>Desired EC / Actual Rootzone EC</a:t>
                </a:r>
              </a:p>
            </c:rich>
          </c:tx>
          <c:layout>
            <c:manualLayout>
              <c:xMode val="edge"/>
              <c:yMode val="edge"/>
              <c:x val="0.33346835706908479"/>
              <c:y val="0.933601244713406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1" i="0" u="none" strike="noStrike" baseline="0">
                <a:solidFill>
                  <a:srgbClr val="000000"/>
                </a:solidFill>
                <a:latin typeface="Arial"/>
                <a:ea typeface="Arial"/>
                <a:cs typeface="Arial"/>
              </a:defRPr>
            </a:pPr>
            <a:endParaRPr lang="en-US"/>
          </a:p>
        </c:txPr>
        <c:crossAx val="154672352"/>
        <c:crosses val="autoZero"/>
        <c:crossBetween val="midCat"/>
      </c:valAx>
      <c:valAx>
        <c:axId val="15467235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Proportional Depth of Water / Depth of Soil</a:t>
                </a:r>
              </a:p>
            </c:rich>
          </c:tx>
          <c:layout>
            <c:manualLayout>
              <c:xMode val="edge"/>
              <c:yMode val="edge"/>
              <c:x val="2.5290419473739067E-2"/>
              <c:y val="0.1048037799860170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1" i="0" u="none" strike="noStrike" baseline="0">
                <a:solidFill>
                  <a:srgbClr val="000000"/>
                </a:solidFill>
                <a:latin typeface="Arial"/>
                <a:ea typeface="Arial"/>
                <a:cs typeface="Arial"/>
              </a:defRPr>
            </a:pPr>
            <a:endParaRPr lang="en-US"/>
          </a:p>
        </c:txPr>
        <c:crossAx val="154671792"/>
        <c:crosses val="autoZero"/>
        <c:crossBetween val="midCat"/>
      </c:valAx>
      <c:spPr>
        <a:noFill/>
        <a:ln w="3175">
          <a:solidFill>
            <a:srgbClr val="000000"/>
          </a:solidFill>
          <a:prstDash val="solid"/>
        </a:ln>
      </c:spPr>
    </c:plotArea>
    <c:legend>
      <c:legendPos val="r"/>
      <c:layout>
        <c:manualLayout>
          <c:xMode val="edge"/>
          <c:yMode val="edge"/>
          <c:x val="0.18433416716412251"/>
          <c:y val="0.70815654047610865"/>
          <c:w val="0.35024067388688329"/>
          <c:h val="0.12400600579949342"/>
        </c:manualLayout>
      </c:layout>
      <c:overlay val="0"/>
      <c:spPr>
        <a:solidFill>
          <a:srgbClr val="FFFFFF"/>
        </a:solidFill>
        <a:ln w="3175">
          <a:solidFill>
            <a:srgbClr val="000000"/>
          </a:solidFill>
          <a:prstDash val="solid"/>
        </a:ln>
      </c:spPr>
      <c:txPr>
        <a:bodyPr/>
        <a:lstStyle/>
        <a:p>
          <a:pPr>
            <a:defRPr sz="92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9801017652576"/>
          <c:y val="7.4050418915976121E-2"/>
          <c:w val="0.80512758558609787"/>
          <c:h val="0.78765544590768943"/>
        </c:manualLayout>
      </c:layout>
      <c:scatterChart>
        <c:scatterStyle val="smoothMarker"/>
        <c:varyColors val="0"/>
        <c:ser>
          <c:idx val="0"/>
          <c:order val="0"/>
          <c:tx>
            <c:strRef>
              <c:f>'SALINITY TRIAL EXAMPLE'!$T$7</c:f>
              <c:strCache>
                <c:ptCount val="1"/>
                <c:pt idx="0">
                  <c:v>k (sprinkler) = 0.15</c:v>
                </c:pt>
              </c:strCache>
            </c:strRef>
          </c:tx>
          <c:marker>
            <c:symbol val="diamond"/>
            <c:size val="5"/>
            <c:spPr>
              <a:solidFill>
                <a:srgbClr val="000080"/>
              </a:solidFill>
              <a:ln>
                <a:solidFill>
                  <a:srgbClr val="000080"/>
                </a:solidFill>
                <a:prstDash val="solid"/>
              </a:ln>
            </c:spPr>
          </c:marker>
          <c:xVal>
            <c:numRef>
              <c:f>'SALINITY TRIAL EXAMPLE'!$S$8:$S$17</c:f>
              <c:numCache>
                <c:formatCode>General</c:formatCode>
                <c:ptCount val="10"/>
                <c:pt idx="0">
                  <c:v>0.1</c:v>
                </c:pt>
                <c:pt idx="1">
                  <c:v>0.2</c:v>
                </c:pt>
                <c:pt idx="2">
                  <c:v>0.3</c:v>
                </c:pt>
                <c:pt idx="3">
                  <c:v>0.4</c:v>
                </c:pt>
                <c:pt idx="4">
                  <c:v>0.5</c:v>
                </c:pt>
                <c:pt idx="5">
                  <c:v>0.6</c:v>
                </c:pt>
                <c:pt idx="6">
                  <c:v>0.7</c:v>
                </c:pt>
                <c:pt idx="7">
                  <c:v>0.79999999999999993</c:v>
                </c:pt>
                <c:pt idx="8">
                  <c:v>0.89999999999999991</c:v>
                </c:pt>
                <c:pt idx="9">
                  <c:v>0.99999999999999989</c:v>
                </c:pt>
              </c:numCache>
            </c:numRef>
          </c:xVal>
          <c:yVal>
            <c:numRef>
              <c:f>'SALINITY TRIAL EXAMPLE'!$T$8:$T$17</c:f>
              <c:numCache>
                <c:formatCode>0.00</c:formatCode>
                <c:ptCount val="10"/>
                <c:pt idx="1">
                  <c:v>0.74999999999999989</c:v>
                </c:pt>
                <c:pt idx="2">
                  <c:v>0.5</c:v>
                </c:pt>
                <c:pt idx="3">
                  <c:v>0.37499999999999994</c:v>
                </c:pt>
                <c:pt idx="4">
                  <c:v>0.3</c:v>
                </c:pt>
                <c:pt idx="5">
                  <c:v>0.25</c:v>
                </c:pt>
                <c:pt idx="6">
                  <c:v>0.2142857142857143</c:v>
                </c:pt>
                <c:pt idx="7">
                  <c:v>0.1875</c:v>
                </c:pt>
                <c:pt idx="8">
                  <c:v>0.16666666666666669</c:v>
                </c:pt>
                <c:pt idx="9">
                  <c:v>0.15000000000000002</c:v>
                </c:pt>
              </c:numCache>
            </c:numRef>
          </c:yVal>
          <c:smooth val="1"/>
          <c:extLst>
            <c:ext xmlns:c16="http://schemas.microsoft.com/office/drawing/2014/chart" uri="{C3380CC4-5D6E-409C-BE32-E72D297353CC}">
              <c16:uniqueId val="{00000000-BCBB-4C28-9E33-E98AE850EF1B}"/>
            </c:ext>
          </c:extLst>
        </c:ser>
        <c:ser>
          <c:idx val="1"/>
          <c:order val="1"/>
          <c:tx>
            <c:strRef>
              <c:f>'SALINITY TRIAL EXAMPLE'!$U$7</c:f>
              <c:strCache>
                <c:ptCount val="1"/>
                <c:pt idx="0">
                  <c:v>k (flood) = 0.3</c:v>
                </c:pt>
              </c:strCache>
            </c:strRef>
          </c:tx>
          <c:marker>
            <c:symbol val="square"/>
            <c:size val="5"/>
            <c:spPr>
              <a:solidFill>
                <a:srgbClr val="FF00FF"/>
              </a:solidFill>
              <a:ln>
                <a:solidFill>
                  <a:srgbClr val="FF00FF"/>
                </a:solidFill>
                <a:prstDash val="solid"/>
              </a:ln>
            </c:spPr>
          </c:marker>
          <c:xVal>
            <c:numRef>
              <c:f>'SALINITY TRIAL EXAMPLE'!$S$8:$S$17</c:f>
              <c:numCache>
                <c:formatCode>General</c:formatCode>
                <c:ptCount val="10"/>
                <c:pt idx="0">
                  <c:v>0.1</c:v>
                </c:pt>
                <c:pt idx="1">
                  <c:v>0.2</c:v>
                </c:pt>
                <c:pt idx="2">
                  <c:v>0.3</c:v>
                </c:pt>
                <c:pt idx="3">
                  <c:v>0.4</c:v>
                </c:pt>
                <c:pt idx="4">
                  <c:v>0.5</c:v>
                </c:pt>
                <c:pt idx="5">
                  <c:v>0.6</c:v>
                </c:pt>
                <c:pt idx="6">
                  <c:v>0.7</c:v>
                </c:pt>
                <c:pt idx="7">
                  <c:v>0.79999999999999993</c:v>
                </c:pt>
                <c:pt idx="8">
                  <c:v>0.89999999999999991</c:v>
                </c:pt>
                <c:pt idx="9">
                  <c:v>0.99999999999999989</c:v>
                </c:pt>
              </c:numCache>
            </c:numRef>
          </c:xVal>
          <c:yVal>
            <c:numRef>
              <c:f>'SALINITY TRIAL EXAMPLE'!$U$8:$U$17</c:f>
              <c:numCache>
                <c:formatCode>0.00</c:formatCode>
                <c:ptCount val="10"/>
                <c:pt idx="2">
                  <c:v>1</c:v>
                </c:pt>
                <c:pt idx="3">
                  <c:v>0.74999999999999989</c:v>
                </c:pt>
                <c:pt idx="4">
                  <c:v>0.6</c:v>
                </c:pt>
                <c:pt idx="5">
                  <c:v>0.5</c:v>
                </c:pt>
                <c:pt idx="6">
                  <c:v>0.4285714285714286</c:v>
                </c:pt>
                <c:pt idx="7">
                  <c:v>0.375</c:v>
                </c:pt>
                <c:pt idx="8">
                  <c:v>0.33333333333333337</c:v>
                </c:pt>
                <c:pt idx="9">
                  <c:v>0.30000000000000004</c:v>
                </c:pt>
              </c:numCache>
            </c:numRef>
          </c:yVal>
          <c:smooth val="1"/>
          <c:extLst>
            <c:ext xmlns:c16="http://schemas.microsoft.com/office/drawing/2014/chart" uri="{C3380CC4-5D6E-409C-BE32-E72D297353CC}">
              <c16:uniqueId val="{00000001-BCBB-4C28-9E33-E98AE850EF1B}"/>
            </c:ext>
          </c:extLst>
        </c:ser>
        <c:dLbls>
          <c:showLegendKey val="0"/>
          <c:showVal val="0"/>
          <c:showCatName val="0"/>
          <c:showSerName val="0"/>
          <c:showPercent val="0"/>
          <c:showBubbleSize val="0"/>
        </c:dLbls>
        <c:axId val="154671792"/>
        <c:axId val="154672352"/>
      </c:scatterChart>
      <c:valAx>
        <c:axId val="154671792"/>
        <c:scaling>
          <c:orientation val="minMax"/>
          <c:max val="1.1000000000000001"/>
          <c:min val="0"/>
        </c:scaling>
        <c:delete val="0"/>
        <c:axPos val="b"/>
        <c:title>
          <c:tx>
            <c:rich>
              <a:bodyPr/>
              <a:lstStyle/>
              <a:p>
                <a:pPr>
                  <a:defRPr sz="950" b="1" i="0" u="none" strike="noStrike" baseline="0">
                    <a:solidFill>
                      <a:srgbClr val="000000"/>
                    </a:solidFill>
                    <a:latin typeface="Arial"/>
                    <a:ea typeface="Arial"/>
                    <a:cs typeface="Arial"/>
                  </a:defRPr>
                </a:pPr>
                <a:r>
                  <a:rPr lang="en-US"/>
                  <a:t>Desired EC / Actual Rootzone EC</a:t>
                </a:r>
              </a:p>
            </c:rich>
          </c:tx>
          <c:layout>
            <c:manualLayout>
              <c:xMode val="edge"/>
              <c:yMode val="edge"/>
              <c:x val="0.33346835706908479"/>
              <c:y val="0.933601244713406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1" i="0" u="none" strike="noStrike" baseline="0">
                <a:solidFill>
                  <a:srgbClr val="000000"/>
                </a:solidFill>
                <a:latin typeface="Arial"/>
                <a:ea typeface="Arial"/>
                <a:cs typeface="Arial"/>
              </a:defRPr>
            </a:pPr>
            <a:endParaRPr lang="en-US"/>
          </a:p>
        </c:txPr>
        <c:crossAx val="154672352"/>
        <c:crosses val="autoZero"/>
        <c:crossBetween val="midCat"/>
      </c:valAx>
      <c:valAx>
        <c:axId val="15467235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Proportional Depth of Water / Depth of Soil</a:t>
                </a:r>
              </a:p>
            </c:rich>
          </c:tx>
          <c:layout>
            <c:manualLayout>
              <c:xMode val="edge"/>
              <c:yMode val="edge"/>
              <c:x val="2.5290419473739067E-2"/>
              <c:y val="0.1048037799860170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1" i="0" u="none" strike="noStrike" baseline="0">
                <a:solidFill>
                  <a:srgbClr val="000000"/>
                </a:solidFill>
                <a:latin typeface="Arial"/>
                <a:ea typeface="Arial"/>
                <a:cs typeface="Arial"/>
              </a:defRPr>
            </a:pPr>
            <a:endParaRPr lang="en-US"/>
          </a:p>
        </c:txPr>
        <c:crossAx val="154671792"/>
        <c:crosses val="autoZero"/>
        <c:crossBetween val="midCat"/>
      </c:valAx>
      <c:spPr>
        <a:noFill/>
        <a:ln w="3175">
          <a:solidFill>
            <a:srgbClr val="000000"/>
          </a:solidFill>
          <a:prstDash val="solid"/>
        </a:ln>
      </c:spPr>
    </c:plotArea>
    <c:legend>
      <c:legendPos val="r"/>
      <c:layout>
        <c:manualLayout>
          <c:xMode val="edge"/>
          <c:yMode val="edge"/>
          <c:x val="0.18433416716412251"/>
          <c:y val="0.70815654047610865"/>
          <c:w val="0.35024067388688329"/>
          <c:h val="0.12400600579949342"/>
        </c:manualLayout>
      </c:layout>
      <c:overlay val="0"/>
      <c:spPr>
        <a:solidFill>
          <a:srgbClr val="FFFFFF"/>
        </a:solidFill>
        <a:ln w="3175">
          <a:solidFill>
            <a:srgbClr val="000000"/>
          </a:solidFill>
          <a:prstDash val="solid"/>
        </a:ln>
      </c:spPr>
      <c:txPr>
        <a:bodyPr/>
        <a:lstStyle/>
        <a:p>
          <a:pPr>
            <a:defRPr sz="92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45051477559206"/>
          <c:y val="6.2500181652778708E-2"/>
          <c:w val="0.77615756196196861"/>
          <c:h val="0.7767879719702496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1"/>
            <c:trendlineLbl>
              <c:layout>
                <c:manualLayout>
                  <c:x val="-0.19656260568745881"/>
                  <c:y val="-0.39642619601142148"/>
                </c:manualLayout>
              </c:layout>
              <c:numFmt formatCode="General" sourceLinked="0"/>
              <c:spPr>
                <a:noFill/>
                <a:ln w="25400">
                  <a:noFill/>
                </a:ln>
              </c:spPr>
              <c:txPr>
                <a:bodyPr/>
                <a:lstStyle/>
                <a:p>
                  <a:pPr>
                    <a:defRPr sz="1150" b="1" i="0" u="none" strike="noStrike" baseline="0">
                      <a:solidFill>
                        <a:srgbClr val="000000"/>
                      </a:solidFill>
                      <a:latin typeface="Arial"/>
                      <a:ea typeface="Arial"/>
                      <a:cs typeface="Arial"/>
                    </a:defRPr>
                  </a:pPr>
                  <a:endParaRPr lang="en-US"/>
                </a:p>
              </c:txPr>
            </c:trendlineLbl>
          </c:trendline>
          <c:xVal>
            <c:numRef>
              <c:f>'Final Rootzone ECe by LF'!$A$8:$A$18</c:f>
              <c:numCache>
                <c:formatCode>General</c:formatCode>
                <c:ptCount val="11"/>
                <c:pt idx="0">
                  <c:v>0.05</c:v>
                </c:pt>
                <c:pt idx="1">
                  <c:v>0.1</c:v>
                </c:pt>
                <c:pt idx="2">
                  <c:v>0.15</c:v>
                </c:pt>
                <c:pt idx="3">
                  <c:v>0.2</c:v>
                </c:pt>
                <c:pt idx="4">
                  <c:v>0.25</c:v>
                </c:pt>
                <c:pt idx="5">
                  <c:v>0.3</c:v>
                </c:pt>
                <c:pt idx="6">
                  <c:v>0.4</c:v>
                </c:pt>
                <c:pt idx="7">
                  <c:v>0.5</c:v>
                </c:pt>
                <c:pt idx="8">
                  <c:v>0.6</c:v>
                </c:pt>
                <c:pt idx="9">
                  <c:v>0.7</c:v>
                </c:pt>
                <c:pt idx="10">
                  <c:v>0.8</c:v>
                </c:pt>
              </c:numCache>
            </c:numRef>
          </c:xVal>
          <c:yVal>
            <c:numRef>
              <c:f>'Final Rootzone ECe by LF'!$C$8:$C$18</c:f>
              <c:numCache>
                <c:formatCode>General</c:formatCode>
                <c:ptCount val="11"/>
                <c:pt idx="0">
                  <c:v>3.2</c:v>
                </c:pt>
                <c:pt idx="1">
                  <c:v>2.1</c:v>
                </c:pt>
                <c:pt idx="2">
                  <c:v>1.6</c:v>
                </c:pt>
                <c:pt idx="3">
                  <c:v>1.3</c:v>
                </c:pt>
                <c:pt idx="4">
                  <c:v>1.2</c:v>
                </c:pt>
                <c:pt idx="5">
                  <c:v>1</c:v>
                </c:pt>
                <c:pt idx="6">
                  <c:v>0.9</c:v>
                </c:pt>
                <c:pt idx="7">
                  <c:v>0.8</c:v>
                </c:pt>
                <c:pt idx="8">
                  <c:v>0.7</c:v>
                </c:pt>
                <c:pt idx="9">
                  <c:v>0.65</c:v>
                </c:pt>
                <c:pt idx="10">
                  <c:v>0.6</c:v>
                </c:pt>
              </c:numCache>
            </c:numRef>
          </c:yVal>
          <c:smooth val="0"/>
          <c:extLst>
            <c:ext xmlns:c16="http://schemas.microsoft.com/office/drawing/2014/chart" uri="{C3380CC4-5D6E-409C-BE32-E72D297353CC}">
              <c16:uniqueId val="{00000001-E811-4E9E-AC8A-DAD2F140B790}"/>
            </c:ext>
          </c:extLst>
        </c:ser>
        <c:dLbls>
          <c:showLegendKey val="0"/>
          <c:showVal val="0"/>
          <c:showCatName val="0"/>
          <c:showSerName val="0"/>
          <c:showPercent val="0"/>
          <c:showBubbleSize val="0"/>
        </c:dLbls>
        <c:axId val="180745072"/>
        <c:axId val="180745632"/>
      </c:scatterChart>
      <c:valAx>
        <c:axId val="180745072"/>
        <c:scaling>
          <c:orientation val="minMax"/>
        </c:scaling>
        <c:delete val="0"/>
        <c:axPos val="b"/>
        <c:title>
          <c:tx>
            <c:rich>
              <a:bodyPr/>
              <a:lstStyle/>
              <a:p>
                <a:pPr>
                  <a:defRPr sz="875" b="0" i="0" u="none" strike="noStrike" baseline="0">
                    <a:solidFill>
                      <a:srgbClr val="000000"/>
                    </a:solidFill>
                    <a:latin typeface="Arial"/>
                    <a:ea typeface="Arial"/>
                    <a:cs typeface="Arial"/>
                  </a:defRPr>
                </a:pPr>
                <a:r>
                  <a:rPr lang="en-US"/>
                  <a:t>Leaching Fraction (FAO)</a:t>
                </a:r>
              </a:p>
            </c:rich>
          </c:tx>
          <c:layout>
            <c:manualLayout>
              <c:xMode val="edge"/>
              <c:yMode val="edge"/>
              <c:x val="0.38686234259628055"/>
              <c:y val="0.922621945807498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80745632"/>
        <c:crosses val="autoZero"/>
        <c:crossBetween val="midCat"/>
      </c:valAx>
      <c:valAx>
        <c:axId val="180745632"/>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875" b="0" i="0" u="none" strike="noStrike" baseline="0">
                    <a:solidFill>
                      <a:srgbClr val="000000"/>
                    </a:solidFill>
                    <a:latin typeface="Arial"/>
                    <a:ea typeface="Arial"/>
                    <a:cs typeface="Arial"/>
                  </a:defRPr>
                </a:pPr>
                <a:r>
                  <a:rPr lang="en-US"/>
                  <a:t>Permissable Concentration Factor 
(Crop Threshold Ece / Irrigation Water EC)</a:t>
                </a:r>
              </a:p>
            </c:rich>
          </c:tx>
          <c:layout>
            <c:manualLayout>
              <c:xMode val="edge"/>
              <c:yMode val="edge"/>
              <c:x val="1.2165405394364616E-2"/>
              <c:y val="0.101190929032421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8074507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v>'Final Rootzone ECe tables'!#REF!</c:v>
          </c:tx>
          <c:spPr>
            <a:ln w="28575">
              <a:noFill/>
            </a:ln>
          </c:spPr>
          <c:marker>
            <c:symbol val="square"/>
            <c:size val="5"/>
            <c:spPr>
              <a:solidFill>
                <a:srgbClr val="000000"/>
              </a:solidFill>
              <a:ln>
                <a:solidFill>
                  <a:srgbClr val="000000"/>
                </a:solidFill>
                <a:prstDash val="solid"/>
              </a:ln>
            </c:spPr>
          </c:marker>
          <c:trendline>
            <c:spPr>
              <a:ln w="12700">
                <a:solidFill>
                  <a:srgbClr val="000000"/>
                </a:solidFill>
                <a:prstDash val="solid"/>
              </a:ln>
            </c:spPr>
            <c:trendlineType val="power"/>
            <c:dispRSqr val="0"/>
            <c:dispEq val="1"/>
            <c:trendlineLbl>
              <c:tx>
                <c:rich>
                  <a:bodyPr/>
                  <a:lstStyle/>
                  <a:p>
                    <a:pPr>
                      <a:defRPr sz="200" b="1"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Flood LR = 0.3086x</a:t>
                    </a:r>
                    <a:r>
                      <a:rPr lang="en-US" sz="200" b="1" i="0" u="none" strike="noStrike" baseline="30000">
                        <a:solidFill>
                          <a:srgbClr val="000000"/>
                        </a:solidFill>
                        <a:latin typeface="Arial"/>
                        <a:cs typeface="Arial"/>
                      </a:rPr>
                      <a:t>-1.702</a:t>
                    </a:r>
                  </a:p>
                </c:rich>
              </c:tx>
              <c:numFmt formatCode="General" sourceLinked="0"/>
              <c:spPr>
                <a:noFill/>
                <a:ln w="25400">
                  <a:noFill/>
                </a:ln>
              </c:spPr>
            </c:trendlineLbl>
          </c:trendline>
          <c:xVal>
            <c:numRef>
              <c:f>'Final Rootzone ECe by LF'!#REF!</c:f>
              <c:numCache>
                <c:formatCode>General</c:formatCode>
                <c:ptCount val="1"/>
                <c:pt idx="0">
                  <c:v>1</c:v>
                </c:pt>
              </c:numCache>
            </c:numRef>
          </c:xVal>
          <c:yVal>
            <c:numRef>
              <c:f>'Final Rootzone ECe by LF'!#REF!</c:f>
              <c:numCache>
                <c:formatCode>General</c:formatCode>
                <c:ptCount val="1"/>
                <c:pt idx="0">
                  <c:v>1</c:v>
                </c:pt>
              </c:numCache>
            </c:numRef>
          </c:yVal>
          <c:smooth val="0"/>
          <c:extLst>
            <c:ext xmlns:c16="http://schemas.microsoft.com/office/drawing/2014/chart" uri="{C3380CC4-5D6E-409C-BE32-E72D297353CC}">
              <c16:uniqueId val="{00000001-0FF0-4CB2-BDA6-E3E4D7938195}"/>
            </c:ext>
          </c:extLst>
        </c:ser>
        <c:ser>
          <c:idx val="2"/>
          <c:order val="1"/>
          <c:tx>
            <c:v>'Final Rootzone ECe tables'!#REF!</c:v>
          </c:tx>
          <c:spPr>
            <a:ln w="28575">
              <a:noFill/>
            </a:ln>
          </c:spPr>
          <c:marker>
            <c:symbol val="circle"/>
            <c:size val="6"/>
            <c:spPr>
              <a:noFill/>
              <a:ln>
                <a:solidFill>
                  <a:srgbClr val="000000"/>
                </a:solidFill>
                <a:prstDash val="solid"/>
              </a:ln>
            </c:spPr>
          </c:marker>
          <c:trendline>
            <c:spPr>
              <a:ln w="12700">
                <a:solidFill>
                  <a:srgbClr val="000000"/>
                </a:solidFill>
                <a:prstDash val="solid"/>
              </a:ln>
            </c:spPr>
            <c:trendlineType val="power"/>
            <c:dispRSqr val="0"/>
            <c:dispEq val="1"/>
            <c:trendlineLbl>
              <c:tx>
                <c:rich>
                  <a:bodyPr/>
                  <a:lstStyle/>
                  <a:p>
                    <a:pPr>
                      <a:defRPr sz="200" b="1"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High Freq LR = 0.1794x</a:t>
                    </a:r>
                    <a:r>
                      <a:rPr lang="en-US" sz="200" b="1" i="0" u="none" strike="noStrike" baseline="30000">
                        <a:solidFill>
                          <a:srgbClr val="000000"/>
                        </a:solidFill>
                        <a:latin typeface="Arial"/>
                        <a:cs typeface="Arial"/>
                      </a:rPr>
                      <a:t>-3.0417</a:t>
                    </a:r>
                  </a:p>
                </c:rich>
              </c:tx>
              <c:numFmt formatCode="General" sourceLinked="0"/>
              <c:spPr>
                <a:noFill/>
                <a:ln w="25400">
                  <a:noFill/>
                </a:ln>
              </c:spPr>
            </c:trendlineLbl>
          </c:trendline>
          <c:xVal>
            <c:numRef>
              <c:f>'Final Rootzone ECe by LF'!#REF!</c:f>
              <c:numCache>
                <c:formatCode>General</c:formatCode>
                <c:ptCount val="1"/>
                <c:pt idx="0">
                  <c:v>1</c:v>
                </c:pt>
              </c:numCache>
            </c:numRef>
          </c:xVal>
          <c:yVal>
            <c:numRef>
              <c:f>'Final Rootzone ECe by LF'!#REF!</c:f>
              <c:numCache>
                <c:formatCode>General</c:formatCode>
                <c:ptCount val="1"/>
                <c:pt idx="0">
                  <c:v>1</c:v>
                </c:pt>
              </c:numCache>
            </c:numRef>
          </c:yVal>
          <c:smooth val="0"/>
          <c:extLst>
            <c:ext xmlns:c16="http://schemas.microsoft.com/office/drawing/2014/chart" uri="{C3380CC4-5D6E-409C-BE32-E72D297353CC}">
              <c16:uniqueId val="{00000003-0FF0-4CB2-BDA6-E3E4D7938195}"/>
            </c:ext>
          </c:extLst>
        </c:ser>
        <c:dLbls>
          <c:showLegendKey val="0"/>
          <c:showVal val="0"/>
          <c:showCatName val="0"/>
          <c:showSerName val="0"/>
          <c:showPercent val="0"/>
          <c:showBubbleSize val="0"/>
        </c:dLbls>
        <c:axId val="181622080"/>
        <c:axId val="181622640"/>
      </c:scatterChart>
      <c:valAx>
        <c:axId val="181622080"/>
        <c:scaling>
          <c:orientation val="minMax"/>
        </c:scaling>
        <c:delete val="0"/>
        <c:axPos val="b"/>
        <c:title>
          <c:tx>
            <c:rich>
              <a:bodyPr/>
              <a:lstStyle/>
              <a:p>
                <a:pPr>
                  <a:defRPr sz="200" b="1" i="0" u="none" strike="noStrike" baseline="0">
                    <a:solidFill>
                      <a:srgbClr val="000000"/>
                    </a:solidFill>
                    <a:latin typeface="Arial"/>
                    <a:ea typeface="Arial"/>
                    <a:cs typeface="Arial"/>
                  </a:defRPr>
                </a:pPr>
                <a:r>
                  <a:rPr lang="en-US"/>
                  <a:t>Permissable Concentration Factor 
(Crop Threshold ECe / Irrigation Water EC)</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a:ea typeface="Arial"/>
                <a:cs typeface="Arial"/>
              </a:defRPr>
            </a:pPr>
            <a:endParaRPr lang="en-US"/>
          </a:p>
        </c:txPr>
        <c:crossAx val="181622640"/>
        <c:crosses val="autoZero"/>
        <c:crossBetween val="midCat"/>
      </c:valAx>
      <c:valAx>
        <c:axId val="181622640"/>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200" b="1" i="0" u="none" strike="noStrike" baseline="0">
                    <a:solidFill>
                      <a:srgbClr val="000000"/>
                    </a:solidFill>
                    <a:latin typeface="Arial"/>
                    <a:ea typeface="Arial"/>
                    <a:cs typeface="Arial"/>
                  </a:defRPr>
                </a:pPr>
                <a:r>
                  <a:rPr lang="en-US"/>
                  <a:t>Leaching Requirement</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a:ea typeface="Arial"/>
                <a:cs typeface="Arial"/>
              </a:defRPr>
            </a:pPr>
            <a:endParaRPr lang="en-US"/>
          </a:p>
        </c:txPr>
        <c:crossAx val="181622080"/>
        <c:crosses val="autoZero"/>
        <c:crossBetween val="midCat"/>
      </c:valAx>
      <c:spPr>
        <a:noFill/>
        <a:ln w="12700">
          <a:solidFill>
            <a:srgbClr val="808080"/>
          </a:solidFill>
          <a:prstDash val="solid"/>
        </a:ln>
      </c:spPr>
    </c:plotArea>
    <c:legend>
      <c:legendPos val="r"/>
      <c:legendEntry>
        <c:idx val="0"/>
        <c:txPr>
          <a:bodyPr/>
          <a:lstStyle/>
          <a:p>
            <a:pPr>
              <a:defRPr sz="845" b="1" i="0" u="none" strike="noStrike" baseline="0">
                <a:solidFill>
                  <a:srgbClr val="000000"/>
                </a:solidFill>
                <a:latin typeface="Arial"/>
                <a:ea typeface="Arial"/>
                <a:cs typeface="Arial"/>
              </a:defRPr>
            </a:pPr>
            <a:endParaRPr lang="en-US"/>
          </a:p>
        </c:txPr>
      </c:legendEntry>
      <c:legendEntry>
        <c:idx val="2"/>
        <c:delete val="1"/>
      </c:legendEntry>
      <c:legendEntry>
        <c:idx val="3"/>
        <c:delete val="1"/>
      </c:legendEntry>
      <c:overlay val="0"/>
      <c:spPr>
        <a:solidFill>
          <a:srgbClr val="FFFFFF"/>
        </a:solidFill>
        <a:ln w="25400">
          <a:noFill/>
        </a:ln>
      </c:spPr>
      <c:txPr>
        <a:bodyPr/>
        <a:lstStyle/>
        <a:p>
          <a:pPr>
            <a:defRPr sz="84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5294117647059"/>
          <c:y val="6.6878980891719744E-2"/>
          <c:w val="0.77882352941176469"/>
          <c:h val="0.7579617834394905"/>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1"/>
            <c:trendlineLbl>
              <c:layout>
                <c:manualLayout>
                  <c:x val="-0.21642340589779219"/>
                  <c:y val="-0.38409248207031443"/>
                </c:manualLayout>
              </c:layout>
              <c:numFmt formatCode="General" sourceLinked="0"/>
              <c:spPr>
                <a:noFill/>
                <a:ln w="25400">
                  <a:noFill/>
                </a:ln>
              </c:spPr>
              <c:txPr>
                <a:bodyPr/>
                <a:lstStyle/>
                <a:p>
                  <a:pPr>
                    <a:defRPr sz="950" b="0" i="0" u="none" strike="noStrike" baseline="0">
                      <a:solidFill>
                        <a:srgbClr val="000000"/>
                      </a:solidFill>
                      <a:latin typeface="Arial"/>
                      <a:ea typeface="Arial"/>
                      <a:cs typeface="Arial"/>
                    </a:defRPr>
                  </a:pPr>
                  <a:endParaRPr lang="en-US"/>
                </a:p>
              </c:txPr>
            </c:trendlineLbl>
          </c:trendline>
          <c:xVal>
            <c:numRef>
              <c:f>'Needed Leaching Fraction'!$A$8:$A$18</c:f>
              <c:numCache>
                <c:formatCode>General</c:formatCode>
                <c:ptCount val="11"/>
                <c:pt idx="0">
                  <c:v>0.05</c:v>
                </c:pt>
                <c:pt idx="1">
                  <c:v>0.1</c:v>
                </c:pt>
                <c:pt idx="2">
                  <c:v>0.15</c:v>
                </c:pt>
                <c:pt idx="3">
                  <c:v>0.2</c:v>
                </c:pt>
                <c:pt idx="4">
                  <c:v>0.25</c:v>
                </c:pt>
                <c:pt idx="5">
                  <c:v>0.3</c:v>
                </c:pt>
                <c:pt idx="6">
                  <c:v>0.4</c:v>
                </c:pt>
                <c:pt idx="7">
                  <c:v>0.5</c:v>
                </c:pt>
                <c:pt idx="8">
                  <c:v>0.6</c:v>
                </c:pt>
                <c:pt idx="9">
                  <c:v>0.7</c:v>
                </c:pt>
                <c:pt idx="10">
                  <c:v>0.8</c:v>
                </c:pt>
              </c:numCache>
            </c:numRef>
          </c:xVal>
          <c:yVal>
            <c:numRef>
              <c:f>'Needed Leaching Fraction'!$C$8:$C$18</c:f>
              <c:numCache>
                <c:formatCode>General</c:formatCode>
                <c:ptCount val="11"/>
                <c:pt idx="0">
                  <c:v>3.2</c:v>
                </c:pt>
                <c:pt idx="1">
                  <c:v>2.1</c:v>
                </c:pt>
                <c:pt idx="2">
                  <c:v>1.6</c:v>
                </c:pt>
                <c:pt idx="3">
                  <c:v>1.3</c:v>
                </c:pt>
                <c:pt idx="4">
                  <c:v>1.2</c:v>
                </c:pt>
                <c:pt idx="5">
                  <c:v>1</c:v>
                </c:pt>
                <c:pt idx="6">
                  <c:v>0.9</c:v>
                </c:pt>
                <c:pt idx="7">
                  <c:v>0.8</c:v>
                </c:pt>
                <c:pt idx="8">
                  <c:v>0.7</c:v>
                </c:pt>
                <c:pt idx="9">
                  <c:v>0.65</c:v>
                </c:pt>
                <c:pt idx="10">
                  <c:v>0.6</c:v>
                </c:pt>
              </c:numCache>
            </c:numRef>
          </c:yVal>
          <c:smooth val="0"/>
          <c:extLst>
            <c:ext xmlns:c16="http://schemas.microsoft.com/office/drawing/2014/chart" uri="{C3380CC4-5D6E-409C-BE32-E72D297353CC}">
              <c16:uniqueId val="{00000001-4305-47FD-B128-09235A0A7B74}"/>
            </c:ext>
          </c:extLst>
        </c:ser>
        <c:dLbls>
          <c:showLegendKey val="0"/>
          <c:showVal val="0"/>
          <c:showCatName val="0"/>
          <c:showSerName val="0"/>
          <c:showPercent val="0"/>
          <c:showBubbleSize val="0"/>
        </c:dLbls>
        <c:axId val="181624880"/>
        <c:axId val="181625440"/>
      </c:scatterChart>
      <c:valAx>
        <c:axId val="181624880"/>
        <c:scaling>
          <c:orientation val="minMax"/>
        </c:scaling>
        <c:delete val="0"/>
        <c:axPos val="b"/>
        <c:title>
          <c:tx>
            <c:rich>
              <a:bodyPr/>
              <a:lstStyle/>
              <a:p>
                <a:pPr>
                  <a:defRPr sz="950" b="0" i="0" u="none" strike="noStrike" baseline="0">
                    <a:solidFill>
                      <a:srgbClr val="000000"/>
                    </a:solidFill>
                    <a:latin typeface="Arial"/>
                    <a:ea typeface="Arial"/>
                    <a:cs typeface="Arial"/>
                  </a:defRPr>
                </a:pPr>
                <a:r>
                  <a:rPr lang="en-US"/>
                  <a:t>Leaching Fraction</a:t>
                </a:r>
              </a:p>
            </c:rich>
          </c:tx>
          <c:layout>
            <c:manualLayout>
              <c:xMode val="edge"/>
              <c:yMode val="edge"/>
              <c:x val="0.4258824285382406"/>
              <c:y val="0.914012906891793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1625440"/>
        <c:crosses val="autoZero"/>
        <c:crossBetween val="midCat"/>
      </c:valAx>
      <c:valAx>
        <c:axId val="181625440"/>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Concentration Factor for ECe</a:t>
                </a:r>
              </a:p>
            </c:rich>
          </c:tx>
          <c:layout>
            <c:manualLayout>
              <c:xMode val="edge"/>
              <c:yMode val="edge"/>
              <c:x val="3.7646989041624029E-2"/>
              <c:y val="0.171974524447330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162488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Boron Leaching</a:t>
            </a:r>
          </a:p>
        </c:rich>
      </c:tx>
      <c:overlay val="0"/>
      <c:spPr>
        <a:noFill/>
        <a:ln w="25400">
          <a:noFill/>
        </a:ln>
      </c:spPr>
    </c:title>
    <c:autoTitleDeleted val="0"/>
    <c:plotArea>
      <c:layout/>
      <c:scatterChart>
        <c:scatterStyle val="lineMarker"/>
        <c:varyColors val="0"/>
        <c:ser>
          <c:idx val="0"/>
          <c:order val="0"/>
          <c:tx>
            <c:strRef>
              <c:f>'Boron Leaching'!$J$4</c:f>
              <c:strCache>
                <c:ptCount val="1"/>
                <c:pt idx="0">
                  <c:v>Sprinkling Fraction remaining</c:v>
                </c:pt>
              </c:strCache>
            </c:strRef>
          </c:tx>
          <c:spPr>
            <a:ln w="28575">
              <a:noFill/>
            </a:ln>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0.11436313441381382"/>
                  <c:y val="-9.3908961048010595E-2"/>
                </c:manualLayout>
              </c:layout>
              <c:numFmt formatCode="General"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trendlineLbl>
          </c:trendline>
          <c:xVal>
            <c:numRef>
              <c:f>'Boron Leaching'!$I$5:$I$12</c:f>
              <c:numCache>
                <c:formatCode>General</c:formatCode>
                <c:ptCount val="8"/>
                <c:pt idx="0">
                  <c:v>1</c:v>
                </c:pt>
                <c:pt idx="1">
                  <c:v>1.1000000000000001</c:v>
                </c:pt>
                <c:pt idx="2">
                  <c:v>1.3</c:v>
                </c:pt>
                <c:pt idx="3">
                  <c:v>1.5</c:v>
                </c:pt>
                <c:pt idx="4">
                  <c:v>1.9</c:v>
                </c:pt>
                <c:pt idx="5">
                  <c:v>3</c:v>
                </c:pt>
                <c:pt idx="6">
                  <c:v>4.5</c:v>
                </c:pt>
                <c:pt idx="7">
                  <c:v>6</c:v>
                </c:pt>
              </c:numCache>
            </c:numRef>
          </c:xVal>
          <c:yVal>
            <c:numRef>
              <c:f>'Boron Leaching'!$J$5:$J$12</c:f>
              <c:numCache>
                <c:formatCode>General</c:formatCode>
                <c:ptCount val="8"/>
                <c:pt idx="0">
                  <c:v>0.7</c:v>
                </c:pt>
                <c:pt idx="1">
                  <c:v>0.6</c:v>
                </c:pt>
                <c:pt idx="2">
                  <c:v>0.5</c:v>
                </c:pt>
                <c:pt idx="3">
                  <c:v>0.4</c:v>
                </c:pt>
                <c:pt idx="4">
                  <c:v>0.35</c:v>
                </c:pt>
                <c:pt idx="5">
                  <c:v>0.3</c:v>
                </c:pt>
                <c:pt idx="6">
                  <c:v>0.28000000000000003</c:v>
                </c:pt>
                <c:pt idx="7">
                  <c:v>0.26</c:v>
                </c:pt>
              </c:numCache>
            </c:numRef>
          </c:yVal>
          <c:smooth val="0"/>
          <c:extLst>
            <c:ext xmlns:c16="http://schemas.microsoft.com/office/drawing/2014/chart" uri="{C3380CC4-5D6E-409C-BE32-E72D297353CC}">
              <c16:uniqueId val="{00000001-39B8-458E-BEE8-3755DBEF7D66}"/>
            </c:ext>
          </c:extLst>
        </c:ser>
        <c:ser>
          <c:idx val="1"/>
          <c:order val="1"/>
          <c:spPr>
            <a:ln w="28575">
              <a:noFill/>
            </a:ln>
          </c:spPr>
          <c:marker>
            <c:symbol val="triangle"/>
            <c:size val="6"/>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1"/>
            <c:dispEq val="1"/>
            <c:trendlineLbl>
              <c:layout>
                <c:manualLayout>
                  <c:x val="-0.19274615511074075"/>
                  <c:y val="1.1360416231156946E-2"/>
                </c:manualLayout>
              </c:layout>
              <c:numFmt formatCode="General"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trendlineLbl>
          </c:trendline>
          <c:xVal>
            <c:numRef>
              <c:f>'Boron Leaching'!$I$5:$I$12</c:f>
              <c:numCache>
                <c:formatCode>General</c:formatCode>
                <c:ptCount val="8"/>
                <c:pt idx="0">
                  <c:v>1</c:v>
                </c:pt>
                <c:pt idx="1">
                  <c:v>1.1000000000000001</c:v>
                </c:pt>
                <c:pt idx="2">
                  <c:v>1.3</c:v>
                </c:pt>
                <c:pt idx="3">
                  <c:v>1.5</c:v>
                </c:pt>
                <c:pt idx="4">
                  <c:v>1.9</c:v>
                </c:pt>
                <c:pt idx="5">
                  <c:v>3</c:v>
                </c:pt>
                <c:pt idx="6">
                  <c:v>4.5</c:v>
                </c:pt>
                <c:pt idx="7">
                  <c:v>6</c:v>
                </c:pt>
              </c:numCache>
            </c:numRef>
          </c:xVal>
          <c:yVal>
            <c:numRef>
              <c:f>'Boron Leaching'!$K$5:$K$12</c:f>
              <c:numCache>
                <c:formatCode>General</c:formatCode>
                <c:ptCount val="8"/>
                <c:pt idx="0">
                  <c:v>0.6</c:v>
                </c:pt>
                <c:pt idx="1">
                  <c:v>0.54545454545454541</c:v>
                </c:pt>
                <c:pt idx="2">
                  <c:v>0.46153846153846151</c:v>
                </c:pt>
                <c:pt idx="3">
                  <c:v>0.39999999999999997</c:v>
                </c:pt>
                <c:pt idx="4">
                  <c:v>0.31578947368421051</c:v>
                </c:pt>
                <c:pt idx="5">
                  <c:v>0.19999999999999998</c:v>
                </c:pt>
                <c:pt idx="6">
                  <c:v>0.13333333333333333</c:v>
                </c:pt>
                <c:pt idx="7">
                  <c:v>9.9999999999999992E-2</c:v>
                </c:pt>
              </c:numCache>
            </c:numRef>
          </c:yVal>
          <c:smooth val="0"/>
          <c:extLst>
            <c:ext xmlns:c16="http://schemas.microsoft.com/office/drawing/2014/chart" uri="{C3380CC4-5D6E-409C-BE32-E72D297353CC}">
              <c16:uniqueId val="{00000003-39B8-458E-BEE8-3755DBEF7D66}"/>
            </c:ext>
          </c:extLst>
        </c:ser>
        <c:dLbls>
          <c:showLegendKey val="0"/>
          <c:showVal val="0"/>
          <c:showCatName val="0"/>
          <c:showSerName val="0"/>
          <c:showPercent val="0"/>
          <c:showBubbleSize val="0"/>
        </c:dLbls>
        <c:axId val="180999200"/>
        <c:axId val="180999760"/>
      </c:scatterChart>
      <c:valAx>
        <c:axId val="18099920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Calibri"/>
                    <a:ea typeface="Calibri"/>
                    <a:cs typeface="Calibri"/>
                  </a:defRPr>
                </a:pPr>
                <a:r>
                  <a:rPr lang="en-US"/>
                  <a:t>Depth of leaching water per unit depth soil (dwater/dsoil)</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80999760"/>
        <c:crosses val="autoZero"/>
        <c:crossBetween val="midCat"/>
      </c:valAx>
      <c:valAx>
        <c:axId val="18099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rPr>
                  <a:t>Fraction of initial soil concentration remaining (c/c</a:t>
                </a:r>
                <a:r>
                  <a:rPr lang="en-US" sz="900" b="0" i="0" u="none" strike="noStrike" baseline="-25000">
                    <a:solidFill>
                      <a:srgbClr val="333333"/>
                    </a:solidFill>
                    <a:latin typeface="Calibri"/>
                  </a:rPr>
                  <a:t>o</a:t>
                </a:r>
                <a:r>
                  <a:rPr lang="en-US" sz="900" b="0" i="0" u="none" strike="noStrike" baseline="0">
                    <a:solidFill>
                      <a:srgbClr val="333333"/>
                    </a:solidFill>
                    <a:latin typeface="Calibri"/>
                  </a:rPr>
                  <a:t>)</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80999200"/>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1"/>
            <c:trendlineLbl>
              <c:numFmt formatCode="General" sourceLinked="0"/>
              <c:spPr>
                <a:noFill/>
                <a:ln w="25400">
                  <a:noFill/>
                </a:ln>
              </c:spPr>
              <c:txPr>
                <a:bodyPr/>
                <a:lstStyle/>
                <a:p>
                  <a:pPr>
                    <a:defRPr sz="250" b="1" i="0" u="none" strike="noStrike" baseline="0">
                      <a:solidFill>
                        <a:srgbClr val="000000"/>
                      </a:solidFill>
                      <a:latin typeface="Arial"/>
                      <a:ea typeface="Arial"/>
                      <a:cs typeface="Arial"/>
                    </a:defRPr>
                  </a:pPr>
                  <a:endParaRPr lang="en-US"/>
                </a:p>
              </c:txPr>
            </c:trendlineLbl>
          </c:trendline>
          <c:xVal>
            <c:numRef>
              <c:f>'Several LF Calcs for deep perc'!#REF!</c:f>
              <c:numCache>
                <c:formatCode>General</c:formatCode>
                <c:ptCount val="1"/>
                <c:pt idx="0">
                  <c:v>1</c:v>
                </c:pt>
              </c:numCache>
            </c:numRef>
          </c:xVal>
          <c:yVal>
            <c:numRef>
              <c:f>'Several LF Calcs for deep perc'!#REF!</c:f>
              <c:numCache>
                <c:formatCode>General</c:formatCode>
                <c:ptCount val="1"/>
                <c:pt idx="0">
                  <c:v>1</c:v>
                </c:pt>
              </c:numCache>
            </c:numRef>
          </c:yVal>
          <c:smooth val="0"/>
          <c:extLst>
            <c:ext xmlns:c16="http://schemas.microsoft.com/office/drawing/2014/chart" uri="{C3380CC4-5D6E-409C-BE32-E72D297353CC}">
              <c16:uniqueId val="{00000001-CF62-49C3-9132-BCC90E2B3967}"/>
            </c:ext>
          </c:extLst>
        </c:ser>
        <c:dLbls>
          <c:showLegendKey val="0"/>
          <c:showVal val="0"/>
          <c:showCatName val="0"/>
          <c:showSerName val="0"/>
          <c:showPercent val="0"/>
          <c:showBubbleSize val="0"/>
        </c:dLbls>
        <c:axId val="181002560"/>
        <c:axId val="181003120"/>
      </c:scatterChart>
      <c:valAx>
        <c:axId val="181002560"/>
        <c:scaling>
          <c:orientation val="minMax"/>
        </c:scaling>
        <c:delete val="0"/>
        <c:axPos val="b"/>
        <c:title>
          <c:tx>
            <c:rich>
              <a:bodyPr/>
              <a:lstStyle/>
              <a:p>
                <a:pPr>
                  <a:defRPr sz="200" b="0" i="0" u="none" strike="noStrike" baseline="0">
                    <a:solidFill>
                      <a:srgbClr val="000000"/>
                    </a:solidFill>
                    <a:latin typeface="Arial"/>
                    <a:ea typeface="Arial"/>
                    <a:cs typeface="Arial"/>
                  </a:defRPr>
                </a:pPr>
                <a:r>
                  <a:rPr lang="en-US"/>
                  <a:t>Leaching Fraction (FAO)</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81003120"/>
        <c:crosses val="autoZero"/>
        <c:crossBetween val="midCat"/>
      </c:valAx>
      <c:valAx>
        <c:axId val="181003120"/>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200" b="0" i="0" u="none" strike="noStrike" baseline="0">
                    <a:solidFill>
                      <a:srgbClr val="000000"/>
                    </a:solidFill>
                    <a:latin typeface="Arial"/>
                    <a:ea typeface="Arial"/>
                    <a:cs typeface="Arial"/>
                  </a:defRPr>
                </a:pPr>
                <a:r>
                  <a:rPr lang="en-US"/>
                  <a:t>Permissable Concentration Factor 
(Crop Threshold Ece / Irrigation Water EC)</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8100256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68141592920353"/>
          <c:y val="4.2288659944078301E-2"/>
          <c:w val="0.84070796460176989"/>
          <c:h val="0.75333296624635193"/>
        </c:manualLayout>
      </c:layout>
      <c:scatterChart>
        <c:scatterStyle val="lineMarker"/>
        <c:varyColors val="0"/>
        <c:ser>
          <c:idx val="1"/>
          <c:order val="0"/>
          <c:tx>
            <c:strRef>
              <c:f>'Several LF Calcs for deep perc'!$B$98</c:f>
              <c:strCache>
                <c:ptCount val="1"/>
                <c:pt idx="0">
                  <c:v>LR - Flood</c:v>
                </c:pt>
              </c:strCache>
            </c:strRef>
          </c:tx>
          <c:spPr>
            <a:ln w="28575">
              <a:noFill/>
            </a:ln>
          </c:spPr>
          <c:marker>
            <c:symbol val="square"/>
            <c:size val="5"/>
            <c:spPr>
              <a:solidFill>
                <a:srgbClr val="000000"/>
              </a:solidFill>
              <a:ln>
                <a:solidFill>
                  <a:srgbClr val="000000"/>
                </a:solidFill>
                <a:prstDash val="solid"/>
              </a:ln>
            </c:spPr>
          </c:marker>
          <c:trendline>
            <c:spPr>
              <a:ln w="12700">
                <a:solidFill>
                  <a:srgbClr val="000000"/>
                </a:solidFill>
                <a:prstDash val="solid"/>
              </a:ln>
            </c:spPr>
            <c:trendlineType val="power"/>
            <c:dispRSqr val="0"/>
            <c:dispEq val="1"/>
            <c:trendlineLbl>
              <c:layout>
                <c:manualLayout>
                  <c:x val="-0.15663880674371611"/>
                  <c:y val="-0.35146016696704713"/>
                </c:manualLayout>
              </c:layout>
              <c:tx>
                <c:rich>
                  <a:bodyPr/>
                  <a:lstStyle/>
                  <a:p>
                    <a:pPr>
                      <a:defRPr sz="1025" b="1" i="0" u="none" strike="noStrike" baseline="0">
                        <a:solidFill>
                          <a:srgbClr val="000000"/>
                        </a:solidFill>
                        <a:latin typeface="Arial"/>
                        <a:ea typeface="Arial"/>
                        <a:cs typeface="Arial"/>
                      </a:defRPr>
                    </a:pPr>
                    <a:r>
                      <a:rPr lang="en-US" sz="1025" b="1" i="0" u="none" strike="noStrike" baseline="0">
                        <a:solidFill>
                          <a:srgbClr val="000000"/>
                        </a:solidFill>
                        <a:latin typeface="Arial"/>
                        <a:cs typeface="Arial"/>
                      </a:rPr>
                      <a:t>Flood LR = 0.3086x</a:t>
                    </a:r>
                    <a:r>
                      <a:rPr lang="en-US" sz="1025" b="1" i="0" u="none" strike="noStrike" baseline="30000">
                        <a:solidFill>
                          <a:srgbClr val="000000"/>
                        </a:solidFill>
                        <a:latin typeface="Arial"/>
                        <a:cs typeface="Arial"/>
                      </a:rPr>
                      <a:t>-1.702</a:t>
                    </a:r>
                  </a:p>
                </c:rich>
              </c:tx>
              <c:numFmt formatCode="General" sourceLinked="0"/>
              <c:spPr>
                <a:noFill/>
                <a:ln w="25400">
                  <a:noFill/>
                </a:ln>
              </c:spPr>
            </c:trendlineLbl>
          </c:trendline>
          <c:xVal>
            <c:numRef>
              <c:f>'Several LF Calcs for deep perc'!$A$100:$A$110</c:f>
              <c:numCache>
                <c:formatCode>0.00</c:formatCode>
                <c:ptCount val="11"/>
                <c:pt idx="0">
                  <c:v>5</c:v>
                </c:pt>
                <c:pt idx="1">
                  <c:v>4</c:v>
                </c:pt>
                <c:pt idx="2">
                  <c:v>3</c:v>
                </c:pt>
                <c:pt idx="3">
                  <c:v>2</c:v>
                </c:pt>
                <c:pt idx="4">
                  <c:v>1.5</c:v>
                </c:pt>
                <c:pt idx="5">
                  <c:v>1.2</c:v>
                </c:pt>
                <c:pt idx="6">
                  <c:v>1</c:v>
                </c:pt>
                <c:pt idx="7">
                  <c:v>0.9</c:v>
                </c:pt>
                <c:pt idx="8">
                  <c:v>0.8</c:v>
                </c:pt>
                <c:pt idx="9">
                  <c:v>0.7</c:v>
                </c:pt>
                <c:pt idx="10">
                  <c:v>0.65</c:v>
                </c:pt>
              </c:numCache>
            </c:numRef>
          </c:xVal>
          <c:yVal>
            <c:numRef>
              <c:f>'Several LF Calcs for deep perc'!$B$100:$B$110</c:f>
              <c:numCache>
                <c:formatCode>0.00</c:formatCode>
                <c:ptCount val="11"/>
                <c:pt idx="0">
                  <c:v>1.9941093707738437E-2</c:v>
                </c:pt>
                <c:pt idx="1">
                  <c:v>2.9153440617399225E-2</c:v>
                </c:pt>
                <c:pt idx="2">
                  <c:v>4.757026230987324E-2</c:v>
                </c:pt>
                <c:pt idx="3">
                  <c:v>9.485120860869091E-2</c:v>
                </c:pt>
                <c:pt idx="4">
                  <c:v>0.15477064725015835</c:v>
                </c:pt>
                <c:pt idx="5">
                  <c:v>0.22627128381493675</c:v>
                </c:pt>
                <c:pt idx="6">
                  <c:v>0.30859999999999999</c:v>
                </c:pt>
                <c:pt idx="7">
                  <c:v>0.36921145828133667</c:v>
                </c:pt>
                <c:pt idx="8">
                  <c:v>0.45116641576374894</c:v>
                </c:pt>
                <c:pt idx="9">
                  <c:v>0.56629021520940337</c:v>
                </c:pt>
                <c:pt idx="10">
                  <c:v>0.64241753807151791</c:v>
                </c:pt>
              </c:numCache>
            </c:numRef>
          </c:yVal>
          <c:smooth val="0"/>
          <c:extLst>
            <c:ext xmlns:c16="http://schemas.microsoft.com/office/drawing/2014/chart" uri="{C3380CC4-5D6E-409C-BE32-E72D297353CC}">
              <c16:uniqueId val="{00000001-BBC7-478F-9667-0804AEBDEB92}"/>
            </c:ext>
          </c:extLst>
        </c:ser>
        <c:ser>
          <c:idx val="2"/>
          <c:order val="1"/>
          <c:tx>
            <c:strRef>
              <c:f>'Several LF Calcs for deep perc'!$C$98</c:f>
              <c:strCache>
                <c:ptCount val="1"/>
                <c:pt idx="0">
                  <c:v>LR - Sprinkler / micro</c:v>
                </c:pt>
              </c:strCache>
            </c:strRef>
          </c:tx>
          <c:spPr>
            <a:ln w="28575">
              <a:noFill/>
            </a:ln>
          </c:spPr>
          <c:marker>
            <c:symbol val="circle"/>
            <c:size val="6"/>
            <c:spPr>
              <a:noFill/>
              <a:ln>
                <a:solidFill>
                  <a:srgbClr val="000000"/>
                </a:solidFill>
                <a:prstDash val="solid"/>
              </a:ln>
            </c:spPr>
          </c:marker>
          <c:trendline>
            <c:spPr>
              <a:ln w="12700">
                <a:solidFill>
                  <a:srgbClr val="000000"/>
                </a:solidFill>
                <a:prstDash val="solid"/>
              </a:ln>
            </c:spPr>
            <c:trendlineType val="power"/>
            <c:dispRSqr val="0"/>
            <c:dispEq val="1"/>
            <c:trendlineLbl>
              <c:layout>
                <c:manualLayout>
                  <c:x val="9.6771992733946544E-2"/>
                  <c:y val="-0.18479309542273847"/>
                </c:manualLayout>
              </c:layout>
              <c:tx>
                <c:rich>
                  <a:bodyPr/>
                  <a:lstStyle/>
                  <a:p>
                    <a:pPr>
                      <a:defRPr sz="1025" b="1" i="0" u="none" strike="noStrike" baseline="0">
                        <a:solidFill>
                          <a:srgbClr val="000000"/>
                        </a:solidFill>
                        <a:latin typeface="Arial"/>
                        <a:ea typeface="Arial"/>
                        <a:cs typeface="Arial"/>
                      </a:defRPr>
                    </a:pPr>
                    <a:r>
                      <a:rPr lang="en-US" sz="1025" b="1" i="0" u="none" strike="noStrike" baseline="0">
                        <a:solidFill>
                          <a:srgbClr val="000000"/>
                        </a:solidFill>
                        <a:latin typeface="Arial"/>
                        <a:cs typeface="Arial"/>
                      </a:rPr>
                      <a:t>High Freq LR = 0.1794x</a:t>
                    </a:r>
                    <a:r>
                      <a:rPr lang="en-US" sz="1025" b="1" i="0" u="none" strike="noStrike" baseline="30000">
                        <a:solidFill>
                          <a:srgbClr val="000000"/>
                        </a:solidFill>
                        <a:latin typeface="Arial"/>
                        <a:cs typeface="Arial"/>
                      </a:rPr>
                      <a:t>-3.0417</a:t>
                    </a:r>
                  </a:p>
                </c:rich>
              </c:tx>
              <c:numFmt formatCode="General" sourceLinked="0"/>
              <c:spPr>
                <a:noFill/>
                <a:ln w="25400">
                  <a:noFill/>
                </a:ln>
              </c:spPr>
            </c:trendlineLbl>
          </c:trendline>
          <c:xVal>
            <c:numRef>
              <c:f>'Several LF Calcs for deep perc'!$A$100:$A$110</c:f>
              <c:numCache>
                <c:formatCode>0.00</c:formatCode>
                <c:ptCount val="11"/>
                <c:pt idx="0">
                  <c:v>5</c:v>
                </c:pt>
                <c:pt idx="1">
                  <c:v>4</c:v>
                </c:pt>
                <c:pt idx="2">
                  <c:v>3</c:v>
                </c:pt>
                <c:pt idx="3">
                  <c:v>2</c:v>
                </c:pt>
                <c:pt idx="4">
                  <c:v>1.5</c:v>
                </c:pt>
                <c:pt idx="5">
                  <c:v>1.2</c:v>
                </c:pt>
                <c:pt idx="6">
                  <c:v>1</c:v>
                </c:pt>
                <c:pt idx="7">
                  <c:v>0.9</c:v>
                </c:pt>
                <c:pt idx="8">
                  <c:v>0.8</c:v>
                </c:pt>
                <c:pt idx="9">
                  <c:v>0.7</c:v>
                </c:pt>
                <c:pt idx="10">
                  <c:v>0.65</c:v>
                </c:pt>
              </c:numCache>
            </c:numRef>
          </c:xVal>
          <c:yVal>
            <c:numRef>
              <c:f>'Several LF Calcs for deep perc'!$C$100:$C$110</c:f>
              <c:numCache>
                <c:formatCode>0.000</c:formatCode>
                <c:ptCount val="11"/>
                <c:pt idx="0">
                  <c:v>1.3420397409987666E-3</c:v>
                </c:pt>
                <c:pt idx="1">
                  <c:v>2.6456754237470688E-3</c:v>
                </c:pt>
                <c:pt idx="2">
                  <c:v>6.3469155274414948E-3</c:v>
                </c:pt>
                <c:pt idx="3">
                  <c:v>2.1786100408752007E-2</c:v>
                </c:pt>
                <c:pt idx="4">
                  <c:v>5.226436233469238E-2</c:v>
                </c:pt>
                <c:pt idx="5">
                  <c:v>0.10303311797890688</c:v>
                </c:pt>
                <c:pt idx="6">
                  <c:v>0.1794</c:v>
                </c:pt>
                <c:pt idx="7">
                  <c:v>0.24717412063149349</c:v>
                </c:pt>
                <c:pt idx="8">
                  <c:v>0.35366625631145154</c:v>
                </c:pt>
                <c:pt idx="9">
                  <c:v>0.53086944599871921</c:v>
                </c:pt>
                <c:pt idx="10">
                  <c:v>0.66509530455206667</c:v>
                </c:pt>
              </c:numCache>
            </c:numRef>
          </c:yVal>
          <c:smooth val="0"/>
          <c:extLst>
            <c:ext xmlns:c16="http://schemas.microsoft.com/office/drawing/2014/chart" uri="{C3380CC4-5D6E-409C-BE32-E72D297353CC}">
              <c16:uniqueId val="{00000003-BBC7-478F-9667-0804AEBDEB92}"/>
            </c:ext>
          </c:extLst>
        </c:ser>
        <c:dLbls>
          <c:showLegendKey val="0"/>
          <c:showVal val="0"/>
          <c:showCatName val="0"/>
          <c:showSerName val="0"/>
          <c:showPercent val="0"/>
          <c:showBubbleSize val="0"/>
        </c:dLbls>
        <c:axId val="181005920"/>
        <c:axId val="181006480"/>
      </c:scatterChart>
      <c:valAx>
        <c:axId val="18100592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Permissable Concentration Factor 
(Crop Threshold or Average Rootzone ECe / Irrigation Water EC)</a:t>
                </a:r>
              </a:p>
            </c:rich>
          </c:tx>
          <c:layout>
            <c:manualLayout>
              <c:xMode val="edge"/>
              <c:yMode val="edge"/>
              <c:x val="0.13735551574571697"/>
              <c:y val="0.8568021854411056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181006480"/>
        <c:crosses val="autoZero"/>
        <c:crossBetween val="midCat"/>
      </c:valAx>
      <c:valAx>
        <c:axId val="181006480"/>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025" b="1" i="0" u="none" strike="noStrike" baseline="0">
                    <a:solidFill>
                      <a:srgbClr val="000000"/>
                    </a:solidFill>
                    <a:latin typeface="Arial"/>
                    <a:ea typeface="Arial"/>
                    <a:cs typeface="Arial"/>
                  </a:defRPr>
                </a:pPr>
                <a:r>
                  <a:rPr lang="en-US"/>
                  <a:t>Leaching Requirement</a:t>
                </a:r>
              </a:p>
            </c:rich>
          </c:tx>
          <c:layout>
            <c:manualLayout>
              <c:xMode val="edge"/>
              <c:yMode val="edge"/>
              <c:x val="1.106204317052961E-2"/>
              <c:y val="0.2064682093309764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181005920"/>
        <c:crosses val="autoZero"/>
        <c:crossBetween val="midCat"/>
      </c:valAx>
      <c:spPr>
        <a:noFill/>
        <a:ln w="12700">
          <a:solidFill>
            <a:srgbClr val="808080"/>
          </a:solidFill>
          <a:prstDash val="solid"/>
        </a:ln>
      </c:spPr>
    </c:plotArea>
    <c:legend>
      <c:legendPos val="r"/>
      <c:legendEntry>
        <c:idx val="0"/>
        <c:txPr>
          <a:bodyPr/>
          <a:lstStyle/>
          <a:p>
            <a:pPr>
              <a:defRPr sz="845" b="1" i="0" u="none" strike="noStrike" baseline="0">
                <a:solidFill>
                  <a:srgbClr val="000000"/>
                </a:solidFill>
                <a:latin typeface="Arial"/>
                <a:ea typeface="Arial"/>
                <a:cs typeface="Arial"/>
              </a:defRPr>
            </a:pPr>
            <a:endParaRPr lang="en-US"/>
          </a:p>
        </c:txPr>
      </c:legendEntry>
      <c:legendEntry>
        <c:idx val="2"/>
        <c:delete val="1"/>
      </c:legendEntry>
      <c:legendEntry>
        <c:idx val="3"/>
        <c:delete val="1"/>
      </c:legendEntry>
      <c:layout>
        <c:manualLayout>
          <c:xMode val="edge"/>
          <c:yMode val="edge"/>
          <c:x val="0.56439125664847456"/>
          <c:y val="0.16499544699769672"/>
          <c:w val="0.37567294828887132"/>
          <c:h val="0.10261904761904764"/>
        </c:manualLayout>
      </c:layout>
      <c:overlay val="0"/>
      <c:spPr>
        <a:solidFill>
          <a:srgbClr val="FFFFFF"/>
        </a:solidFill>
        <a:ln w="25400">
          <a:noFill/>
        </a:ln>
      </c:spPr>
      <c:txPr>
        <a:bodyPr/>
        <a:lstStyle/>
        <a:p>
          <a:pPr>
            <a:defRPr sz="84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00034877313237"/>
          <c:y val="9.3190290344598262E-2"/>
          <c:w val="0.80714473387447427"/>
          <c:h val="0.73835383888412465"/>
        </c:manualLayout>
      </c:layout>
      <c:scatterChart>
        <c:scatterStyle val="lineMarker"/>
        <c:varyColors val="0"/>
        <c:ser>
          <c:idx val="0"/>
          <c:order val="0"/>
          <c:tx>
            <c:strRef>
              <c:f>'Several LF Calcs for deep perc'!$C$67</c:f>
              <c:strCache>
                <c:ptCount val="1"/>
                <c:pt idx="0">
                  <c:v>k = 0.15 (Sprinkler/drip)</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1"/>
            <c:trendlineLbl>
              <c:layout>
                <c:manualLayout>
                  <c:x val="-0.48042901183841585"/>
                  <c:y val="-5.2470812715679625E-2"/>
                </c:manualLayout>
              </c:layout>
              <c:numFmt formatCode="General" sourceLinked="0"/>
              <c:spPr>
                <a:noFill/>
                <a:ln w="25400">
                  <a:noFill/>
                </a:ln>
              </c:spPr>
              <c:txPr>
                <a:bodyPr/>
                <a:lstStyle/>
                <a:p>
                  <a:pPr>
                    <a:defRPr sz="925" b="1" i="0" u="none" strike="noStrike" baseline="0">
                      <a:solidFill>
                        <a:srgbClr val="000000"/>
                      </a:solidFill>
                      <a:latin typeface="Arial"/>
                      <a:ea typeface="Arial"/>
                      <a:cs typeface="Arial"/>
                    </a:defRPr>
                  </a:pPr>
                  <a:endParaRPr lang="en-US"/>
                </a:p>
              </c:txPr>
            </c:trendlineLbl>
          </c:trendline>
          <c:xVal>
            <c:numRef>
              <c:f>'Several LF Calcs for deep perc'!$B$68:$B$80</c:f>
              <c:numCache>
                <c:formatCode>General</c:formatCode>
                <c:ptCount val="13"/>
                <c:pt idx="0">
                  <c:v>0.1</c:v>
                </c:pt>
                <c:pt idx="1">
                  <c:v>0.2</c:v>
                </c:pt>
                <c:pt idx="2">
                  <c:v>0.3</c:v>
                </c:pt>
                <c:pt idx="3">
                  <c:v>0.5</c:v>
                </c:pt>
                <c:pt idx="4">
                  <c:v>0.7</c:v>
                </c:pt>
                <c:pt idx="5">
                  <c:v>0.89999999999999991</c:v>
                </c:pt>
                <c:pt idx="6">
                  <c:v>1.0999999999999999</c:v>
                </c:pt>
                <c:pt idx="7">
                  <c:v>1.2999999999999998</c:v>
                </c:pt>
                <c:pt idx="8">
                  <c:v>1.4999999999999998</c:v>
                </c:pt>
                <c:pt idx="9">
                  <c:v>1.6999999999999997</c:v>
                </c:pt>
                <c:pt idx="10">
                  <c:v>1.8999999999999997</c:v>
                </c:pt>
                <c:pt idx="11">
                  <c:v>2.0999999999999996</c:v>
                </c:pt>
                <c:pt idx="12">
                  <c:v>2.2999999999999998</c:v>
                </c:pt>
              </c:numCache>
            </c:numRef>
          </c:xVal>
          <c:yVal>
            <c:numRef>
              <c:f>'Several LF Calcs for deep perc'!$C$68:$C$80</c:f>
              <c:numCache>
                <c:formatCode>0.00</c:formatCode>
                <c:ptCount val="13"/>
                <c:pt idx="0">
                  <c:v>1.4999999999999998</c:v>
                </c:pt>
                <c:pt idx="1">
                  <c:v>0.74999999999999989</c:v>
                </c:pt>
                <c:pt idx="2">
                  <c:v>0.5</c:v>
                </c:pt>
                <c:pt idx="3">
                  <c:v>0.3</c:v>
                </c:pt>
                <c:pt idx="4">
                  <c:v>0.2142857142857143</c:v>
                </c:pt>
                <c:pt idx="5">
                  <c:v>0.16666666666666669</c:v>
                </c:pt>
                <c:pt idx="6">
                  <c:v>0.13636363636363638</c:v>
                </c:pt>
                <c:pt idx="7">
                  <c:v>0.11538461538461539</c:v>
                </c:pt>
                <c:pt idx="8">
                  <c:v>0.1</c:v>
                </c:pt>
                <c:pt idx="9">
                  <c:v>8.8235294117647065E-2</c:v>
                </c:pt>
                <c:pt idx="10">
                  <c:v>7.8947368421052641E-2</c:v>
                </c:pt>
                <c:pt idx="11">
                  <c:v>7.1428571428571438E-2</c:v>
                </c:pt>
                <c:pt idx="12">
                  <c:v>6.5217391304347824E-2</c:v>
                </c:pt>
              </c:numCache>
            </c:numRef>
          </c:yVal>
          <c:smooth val="0"/>
          <c:extLst>
            <c:ext xmlns:c16="http://schemas.microsoft.com/office/drawing/2014/chart" uri="{C3380CC4-5D6E-409C-BE32-E72D297353CC}">
              <c16:uniqueId val="{00000001-0811-4B4B-BFA8-1B36EC6B8795}"/>
            </c:ext>
          </c:extLst>
        </c:ser>
        <c:ser>
          <c:idx val="1"/>
          <c:order val="1"/>
          <c:tx>
            <c:strRef>
              <c:f>'Several LF Calcs for deep perc'!$D$67</c:f>
              <c:strCache>
                <c:ptCount val="1"/>
                <c:pt idx="0">
                  <c:v>k = 0.3 (Flood)</c:v>
                </c:pt>
              </c:strCache>
            </c:strRef>
          </c:tx>
          <c:spPr>
            <a:ln w="28575">
              <a:noFill/>
            </a:ln>
          </c:spPr>
          <c:marker>
            <c:symbol val="square"/>
            <c:size val="5"/>
            <c:spPr>
              <a:solidFill>
                <a:srgbClr val="FF00FF"/>
              </a:solidFill>
              <a:ln>
                <a:solidFill>
                  <a:srgbClr val="FF00FF"/>
                </a:solidFill>
                <a:prstDash val="solid"/>
              </a:ln>
            </c:spPr>
          </c:marker>
          <c:trendline>
            <c:spPr>
              <a:ln w="25400">
                <a:solidFill>
                  <a:srgbClr val="000000"/>
                </a:solidFill>
                <a:prstDash val="solid"/>
              </a:ln>
            </c:spPr>
            <c:trendlineType val="power"/>
            <c:dispRSqr val="0"/>
            <c:dispEq val="1"/>
            <c:trendlineLbl>
              <c:layout>
                <c:manualLayout>
                  <c:x val="-0.32596648419035712"/>
                  <c:y val="-0.25100642226844821"/>
                </c:manualLayout>
              </c:layout>
              <c:numFmt formatCode="General" sourceLinked="0"/>
              <c:spPr>
                <a:noFill/>
                <a:ln w="25400">
                  <a:noFill/>
                </a:ln>
              </c:spPr>
              <c:txPr>
                <a:bodyPr/>
                <a:lstStyle/>
                <a:p>
                  <a:pPr>
                    <a:defRPr sz="925" b="1" i="0" u="none" strike="noStrike" baseline="0">
                      <a:solidFill>
                        <a:srgbClr val="000000"/>
                      </a:solidFill>
                      <a:latin typeface="Arial"/>
                      <a:ea typeface="Arial"/>
                      <a:cs typeface="Arial"/>
                    </a:defRPr>
                  </a:pPr>
                  <a:endParaRPr lang="en-US"/>
                </a:p>
              </c:txPr>
            </c:trendlineLbl>
          </c:trendline>
          <c:xVal>
            <c:numRef>
              <c:f>'Several LF Calcs for deep perc'!$B$68:$B$80</c:f>
              <c:numCache>
                <c:formatCode>General</c:formatCode>
                <c:ptCount val="13"/>
                <c:pt idx="0">
                  <c:v>0.1</c:v>
                </c:pt>
                <c:pt idx="1">
                  <c:v>0.2</c:v>
                </c:pt>
                <c:pt idx="2">
                  <c:v>0.3</c:v>
                </c:pt>
                <c:pt idx="3">
                  <c:v>0.5</c:v>
                </c:pt>
                <c:pt idx="4">
                  <c:v>0.7</c:v>
                </c:pt>
                <c:pt idx="5">
                  <c:v>0.89999999999999991</c:v>
                </c:pt>
                <c:pt idx="6">
                  <c:v>1.0999999999999999</c:v>
                </c:pt>
                <c:pt idx="7">
                  <c:v>1.2999999999999998</c:v>
                </c:pt>
                <c:pt idx="8">
                  <c:v>1.4999999999999998</c:v>
                </c:pt>
                <c:pt idx="9">
                  <c:v>1.6999999999999997</c:v>
                </c:pt>
                <c:pt idx="10">
                  <c:v>1.8999999999999997</c:v>
                </c:pt>
                <c:pt idx="11">
                  <c:v>2.0999999999999996</c:v>
                </c:pt>
                <c:pt idx="12">
                  <c:v>2.2999999999999998</c:v>
                </c:pt>
              </c:numCache>
            </c:numRef>
          </c:xVal>
          <c:yVal>
            <c:numRef>
              <c:f>'Several LF Calcs for deep perc'!$D$68:$D$80</c:f>
              <c:numCache>
                <c:formatCode>0.00</c:formatCode>
                <c:ptCount val="13"/>
                <c:pt idx="0">
                  <c:v>2.9999999999999996</c:v>
                </c:pt>
                <c:pt idx="1">
                  <c:v>1.4999999999999998</c:v>
                </c:pt>
                <c:pt idx="2">
                  <c:v>1</c:v>
                </c:pt>
                <c:pt idx="3">
                  <c:v>0.6</c:v>
                </c:pt>
                <c:pt idx="4">
                  <c:v>0.4285714285714286</c:v>
                </c:pt>
                <c:pt idx="5">
                  <c:v>0.33333333333333337</c:v>
                </c:pt>
                <c:pt idx="6">
                  <c:v>0.27272727272727276</c:v>
                </c:pt>
                <c:pt idx="7">
                  <c:v>0.23076923076923078</c:v>
                </c:pt>
                <c:pt idx="8">
                  <c:v>0.2</c:v>
                </c:pt>
                <c:pt idx="9">
                  <c:v>0.17647058823529413</c:v>
                </c:pt>
                <c:pt idx="10">
                  <c:v>0.15789473684210528</c:v>
                </c:pt>
                <c:pt idx="11">
                  <c:v>0.14285714285714288</c:v>
                </c:pt>
                <c:pt idx="12">
                  <c:v>0.13043478260869565</c:v>
                </c:pt>
              </c:numCache>
            </c:numRef>
          </c:yVal>
          <c:smooth val="0"/>
          <c:extLst>
            <c:ext xmlns:c16="http://schemas.microsoft.com/office/drawing/2014/chart" uri="{C3380CC4-5D6E-409C-BE32-E72D297353CC}">
              <c16:uniqueId val="{00000003-0811-4B4B-BFA8-1B36EC6B8795}"/>
            </c:ext>
          </c:extLst>
        </c:ser>
        <c:dLbls>
          <c:showLegendKey val="0"/>
          <c:showVal val="0"/>
          <c:showCatName val="0"/>
          <c:showSerName val="0"/>
          <c:showPercent val="0"/>
          <c:showBubbleSize val="0"/>
        </c:dLbls>
        <c:axId val="182417680"/>
        <c:axId val="182418240"/>
      </c:scatterChart>
      <c:valAx>
        <c:axId val="18241768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US"/>
                  <a:t>EC desired / EC original</a:t>
                </a:r>
              </a:p>
            </c:rich>
          </c:tx>
          <c:layout>
            <c:manualLayout>
              <c:xMode val="edge"/>
              <c:yMode val="edge"/>
              <c:x val="0.36566882077987262"/>
              <c:y val="0.911503850480228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en-US"/>
          </a:p>
        </c:txPr>
        <c:crossAx val="182418240"/>
        <c:crosses val="autoZero"/>
        <c:crossBetween val="midCat"/>
      </c:valAx>
      <c:valAx>
        <c:axId val="182418240"/>
        <c:scaling>
          <c:orientation val="minMax"/>
          <c:max val="1"/>
          <c:min val="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Depth leaching water / depth of soil</a:t>
                </a:r>
              </a:p>
            </c:rich>
          </c:tx>
          <c:layout>
            <c:manualLayout>
              <c:xMode val="edge"/>
              <c:yMode val="edge"/>
              <c:x val="1.8229705848521922E-2"/>
              <c:y val="0.1185446771076692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en-US"/>
          </a:p>
        </c:txPr>
        <c:crossAx val="182417680"/>
        <c:crosses val="autoZero"/>
        <c:crossBetween val="midCat"/>
        <c:majorUnit val="0.2"/>
      </c:valAx>
      <c:spPr>
        <a:noFill/>
        <a:ln w="3175">
          <a:solidFill>
            <a:srgbClr val="000000"/>
          </a:solidFill>
          <a:prstDash val="solid"/>
        </a:ln>
      </c:spPr>
    </c:plotArea>
    <c:legend>
      <c:legendPos val="r"/>
      <c:legendEntry>
        <c:idx val="2"/>
        <c:delete val="1"/>
      </c:legendEntry>
      <c:legendEntry>
        <c:idx val="3"/>
        <c:delete val="1"/>
      </c:legendEntry>
      <c:layout>
        <c:manualLayout>
          <c:xMode val="edge"/>
          <c:yMode val="edge"/>
          <c:x val="0.58383081845844964"/>
          <c:y val="0.37323087017968909"/>
          <c:w val="0.36433060409281504"/>
          <c:h val="0.10704443194600671"/>
        </c:manualLayout>
      </c:layout>
      <c:overlay val="0"/>
      <c:spPr>
        <a:solidFill>
          <a:srgbClr val="FFFFFF"/>
        </a:solidFill>
        <a:ln w="3175">
          <a:solidFill>
            <a:srgbClr val="000000"/>
          </a:solidFill>
          <a:prstDash val="solid"/>
        </a:ln>
      </c:spPr>
      <c:txPr>
        <a:bodyPr/>
        <a:lstStyle/>
        <a:p>
          <a:pPr>
            <a:defRPr sz="78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chart" Target="../charts/chart6.xml"/><Relationship Id="rId1" Type="http://schemas.openxmlformats.org/officeDocument/2006/relationships/image" Target="../media/image11.emf"/></Relationships>
</file>

<file path=xl/drawings/_rels/drawing1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21.png"/><Relationship Id="rId4"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4" Type="http://schemas.openxmlformats.org/officeDocument/2006/relationships/image" Target="../media/image2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8.emf"/><Relationship Id="rId1" Type="http://schemas.openxmlformats.org/officeDocument/2006/relationships/chart" Target="../charts/chart3.xml"/><Relationship Id="rId4"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6.emf"/><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emf"/><Relationship Id="rId4" Type="http://schemas.openxmlformats.org/officeDocument/2006/relationships/image" Target="../media/image1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1</xdr:row>
      <xdr:rowOff>38100</xdr:rowOff>
    </xdr:from>
    <xdr:to>
      <xdr:col>8</xdr:col>
      <xdr:colOff>342900</xdr:colOff>
      <xdr:row>21</xdr:row>
      <xdr:rowOff>160020</xdr:rowOff>
    </xdr:to>
    <xdr:pic>
      <xdr:nvPicPr>
        <xdr:cNvPr id="2197" name="Picture 3">
          <a:extLst>
            <a:ext uri="{FF2B5EF4-FFF2-40B4-BE49-F238E27FC236}">
              <a16:creationId xmlns:a16="http://schemas.microsoft.com/office/drawing/2014/main" id="{00000000-0008-0000-0000-000095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205740"/>
          <a:ext cx="4655820" cy="347472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xdr:spPr>
    </xdr:pic>
    <xdr:clientData/>
  </xdr:twoCellAnchor>
  <xdr:twoCellAnchor>
    <xdr:from>
      <xdr:col>1</xdr:col>
      <xdr:colOff>0</xdr:colOff>
      <xdr:row>22</xdr:row>
      <xdr:rowOff>76200</xdr:rowOff>
    </xdr:from>
    <xdr:to>
      <xdr:col>8</xdr:col>
      <xdr:colOff>304800</xdr:colOff>
      <xdr:row>26</xdr:row>
      <xdr:rowOff>133350</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609600" y="3638550"/>
          <a:ext cx="4572000" cy="704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Interaction of  total salinity as EC with the sodium adsorption ratio of applied water for causing potential infiltration problems.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(Ayers, R.S. and D.W. Westcott.  1985.  Water quality for agriculture. United Nations FAO Irrig &amp; Drainage Paper No. 29.)</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0.27125</cdr:x>
      <cdr:y>0.34838</cdr:y>
    </cdr:from>
    <cdr:to>
      <cdr:x>0.32306</cdr:x>
      <cdr:y>0.42974</cdr:y>
    </cdr:to>
    <cdr:sp macro="" textlink="">
      <cdr:nvSpPr>
        <cdr:cNvPr id="9217" name="Line 1"/>
        <cdr:cNvSpPr>
          <a:spLocks xmlns:a="http://schemas.openxmlformats.org/drawingml/2006/main" noChangeShapeType="1"/>
        </cdr:cNvSpPr>
      </cdr:nvSpPr>
      <cdr:spPr bwMode="auto">
        <a:xfrm xmlns:a="http://schemas.openxmlformats.org/drawingml/2006/main" flipH="1">
          <a:off x="1167930" y="258686"/>
          <a:ext cx="218027" cy="59669"/>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0.3194</cdr:x>
      <cdr:y>0.43779</cdr:y>
    </cdr:from>
    <cdr:to>
      <cdr:x>0.56428</cdr:x>
      <cdr:y>0.50914</cdr:y>
    </cdr:to>
    <cdr:sp macro="" textlink="">
      <cdr:nvSpPr>
        <cdr:cNvPr id="9218" name="Line 2"/>
        <cdr:cNvSpPr>
          <a:spLocks xmlns:a="http://schemas.openxmlformats.org/drawingml/2006/main" noChangeShapeType="1"/>
        </cdr:cNvSpPr>
      </cdr:nvSpPr>
      <cdr:spPr bwMode="auto">
        <a:xfrm xmlns:a="http://schemas.openxmlformats.org/drawingml/2006/main" flipH="1">
          <a:off x="1370384" y="324258"/>
          <a:ext cx="1029919" cy="5233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38100</xdr:colOff>
      <xdr:row>3</xdr:row>
      <xdr:rowOff>53340</xdr:rowOff>
    </xdr:from>
    <xdr:to>
      <xdr:col>9</xdr:col>
      <xdr:colOff>426720</xdr:colOff>
      <xdr:row>18</xdr:row>
      <xdr:rowOff>0</xdr:rowOff>
    </xdr:to>
    <xdr:graphicFrame macro="">
      <xdr:nvGraphicFramePr>
        <xdr:cNvPr id="7317" name="Chart 1">
          <a:extLst>
            <a:ext uri="{FF2B5EF4-FFF2-40B4-BE49-F238E27FC236}">
              <a16:creationId xmlns:a16="http://schemas.microsoft.com/office/drawing/2014/main" id="{00000000-0008-0000-0500-00009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561975</xdr:colOff>
      <xdr:row>0</xdr:row>
      <xdr:rowOff>323850</xdr:rowOff>
    </xdr:from>
    <xdr:to>
      <xdr:col>8</xdr:col>
      <xdr:colOff>219075</xdr:colOff>
      <xdr:row>0</xdr:row>
      <xdr:rowOff>582930</xdr:rowOff>
    </xdr:to>
    <xdr:sp macro="" textlink="">
      <xdr:nvSpPr>
        <xdr:cNvPr id="7172" name="Text Box 4">
          <a:extLst>
            <a:ext uri="{FF2B5EF4-FFF2-40B4-BE49-F238E27FC236}">
              <a16:creationId xmlns:a16="http://schemas.microsoft.com/office/drawing/2014/main" id="{00000000-0008-0000-0500-0000041C0000}"/>
            </a:ext>
          </a:extLst>
        </xdr:cNvPr>
        <xdr:cNvSpPr txBox="1">
          <a:spLocks noChangeArrowheads="1"/>
        </xdr:cNvSpPr>
      </xdr:nvSpPr>
      <xdr:spPr bwMode="auto">
        <a:xfrm>
          <a:off x="4076700" y="323850"/>
          <a:ext cx="1485900"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FLOOD ONLY</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358140</xdr:colOff>
      <xdr:row>0</xdr:row>
      <xdr:rowOff>53340</xdr:rowOff>
    </xdr:from>
    <xdr:to>
      <xdr:col>6</xdr:col>
      <xdr:colOff>7620</xdr:colOff>
      <xdr:row>16</xdr:row>
      <xdr:rowOff>60960</xdr:rowOff>
    </xdr:to>
    <xdr:pic>
      <xdr:nvPicPr>
        <xdr:cNvPr id="152885" name="Picture 1">
          <a:extLst>
            <a:ext uri="{FF2B5EF4-FFF2-40B4-BE49-F238E27FC236}">
              <a16:creationId xmlns:a16="http://schemas.microsoft.com/office/drawing/2014/main" id="{00000000-0008-0000-0600-00003555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53340"/>
          <a:ext cx="3406140" cy="3383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137160</xdr:colOff>
      <xdr:row>0</xdr:row>
      <xdr:rowOff>53340</xdr:rowOff>
    </xdr:from>
    <xdr:to>
      <xdr:col>12</xdr:col>
      <xdr:colOff>7620</xdr:colOff>
      <xdr:row>16</xdr:row>
      <xdr:rowOff>121920</xdr:rowOff>
    </xdr:to>
    <xdr:graphicFrame macro="">
      <xdr:nvGraphicFramePr>
        <xdr:cNvPr id="152886" name="Chart 3">
          <a:extLst>
            <a:ext uri="{FF2B5EF4-FFF2-40B4-BE49-F238E27FC236}">
              <a16:creationId xmlns:a16="http://schemas.microsoft.com/office/drawing/2014/main" id="{00000000-0008-0000-0600-00003655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457200</xdr:colOff>
      <xdr:row>3</xdr:row>
      <xdr:rowOff>152401</xdr:rowOff>
    </xdr:from>
    <xdr:to>
      <xdr:col>6</xdr:col>
      <xdr:colOff>160020</xdr:colOff>
      <xdr:row>5</xdr:row>
      <xdr:rowOff>7621</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bwMode="auto">
        <a:xfrm>
          <a:off x="1775460" y="655321"/>
          <a:ext cx="2141220" cy="883920"/>
        </a:xfrm>
        <a:prstGeom prst="rect">
          <a:avLst/>
        </a:prstGeom>
        <a:solidFill>
          <a:srgbClr val="9AD3FE"/>
        </a:solidFill>
        <a:ln>
          <a:noFill/>
        </a:ln>
        <a:effectLst/>
        <a:extLst>
          <a:ext uri="{91240B29-F687-4F45-9708-019B960494DF}">
            <a14:hiddenLine xmlns:a14="http://schemas.microsoft.com/office/drawing/2010/main" w="12700">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8080" tIns="48179" rIns="98080" bIns="48179">
          <a:spAutoFit/>
        </a:bodyPr>
        <a:lstStyle>
          <a:defPPr>
            <a:defRPr lang="en-US"/>
          </a:defPPr>
          <a:lvl1pPr algn="l" rtl="0" eaLnBrk="0" fontAlgn="base" hangingPunct="0">
            <a:spcBef>
              <a:spcPct val="0"/>
            </a:spcBef>
            <a:spcAft>
              <a:spcPct val="0"/>
            </a:spcAft>
            <a:defRPr sz="2800" b="1" kern="1200">
              <a:solidFill>
                <a:srgbClr val="FAFD00"/>
              </a:solidFill>
              <a:latin typeface="Times New Roman" panose="02020603050405020304" pitchFamily="18" charset="0"/>
              <a:ea typeface="+mn-ea"/>
              <a:cs typeface="+mn-cs"/>
            </a:defRPr>
          </a:lvl1pPr>
          <a:lvl2pPr marL="457200" algn="l" rtl="0" eaLnBrk="0" fontAlgn="base" hangingPunct="0">
            <a:spcBef>
              <a:spcPct val="0"/>
            </a:spcBef>
            <a:spcAft>
              <a:spcPct val="0"/>
            </a:spcAft>
            <a:defRPr sz="2800" b="1" kern="1200">
              <a:solidFill>
                <a:srgbClr val="FAFD00"/>
              </a:solidFill>
              <a:latin typeface="Times New Roman" panose="02020603050405020304" pitchFamily="18" charset="0"/>
              <a:ea typeface="+mn-ea"/>
              <a:cs typeface="+mn-cs"/>
            </a:defRPr>
          </a:lvl2pPr>
          <a:lvl3pPr marL="914400" algn="l" rtl="0" eaLnBrk="0" fontAlgn="base" hangingPunct="0">
            <a:spcBef>
              <a:spcPct val="0"/>
            </a:spcBef>
            <a:spcAft>
              <a:spcPct val="0"/>
            </a:spcAft>
            <a:defRPr sz="2800" b="1" kern="1200">
              <a:solidFill>
                <a:srgbClr val="FAFD00"/>
              </a:solidFill>
              <a:latin typeface="Times New Roman" panose="02020603050405020304" pitchFamily="18" charset="0"/>
              <a:ea typeface="+mn-ea"/>
              <a:cs typeface="+mn-cs"/>
            </a:defRPr>
          </a:lvl3pPr>
          <a:lvl4pPr marL="1371600" algn="l" rtl="0" eaLnBrk="0" fontAlgn="base" hangingPunct="0">
            <a:spcBef>
              <a:spcPct val="0"/>
            </a:spcBef>
            <a:spcAft>
              <a:spcPct val="0"/>
            </a:spcAft>
            <a:defRPr sz="2800" b="1" kern="1200">
              <a:solidFill>
                <a:srgbClr val="FAFD00"/>
              </a:solidFill>
              <a:latin typeface="Times New Roman" panose="02020603050405020304" pitchFamily="18" charset="0"/>
              <a:ea typeface="+mn-ea"/>
              <a:cs typeface="+mn-cs"/>
            </a:defRPr>
          </a:lvl4pPr>
          <a:lvl5pPr marL="1828800" algn="l" rtl="0" eaLnBrk="0" fontAlgn="base" hangingPunct="0">
            <a:spcBef>
              <a:spcPct val="0"/>
            </a:spcBef>
            <a:spcAft>
              <a:spcPct val="0"/>
            </a:spcAft>
            <a:defRPr sz="2800" b="1" kern="1200">
              <a:solidFill>
                <a:srgbClr val="FAFD00"/>
              </a:solidFill>
              <a:latin typeface="Times New Roman" panose="02020603050405020304" pitchFamily="18" charset="0"/>
              <a:ea typeface="+mn-ea"/>
              <a:cs typeface="+mn-cs"/>
            </a:defRPr>
          </a:lvl5pPr>
          <a:lvl6pPr marL="2286000" algn="l" defTabSz="914400" rtl="0" eaLnBrk="1" latinLnBrk="0" hangingPunct="1">
            <a:defRPr sz="2800" b="1" kern="1200">
              <a:solidFill>
                <a:srgbClr val="FAFD00"/>
              </a:solidFill>
              <a:latin typeface="Times New Roman" panose="02020603050405020304" pitchFamily="18" charset="0"/>
              <a:ea typeface="+mn-ea"/>
              <a:cs typeface="+mn-cs"/>
            </a:defRPr>
          </a:lvl6pPr>
          <a:lvl7pPr marL="2743200" algn="l" defTabSz="914400" rtl="0" eaLnBrk="1" latinLnBrk="0" hangingPunct="1">
            <a:defRPr sz="2800" b="1" kern="1200">
              <a:solidFill>
                <a:srgbClr val="FAFD00"/>
              </a:solidFill>
              <a:latin typeface="Times New Roman" panose="02020603050405020304" pitchFamily="18" charset="0"/>
              <a:ea typeface="+mn-ea"/>
              <a:cs typeface="+mn-cs"/>
            </a:defRPr>
          </a:lvl7pPr>
          <a:lvl8pPr marL="3200400" algn="l" defTabSz="914400" rtl="0" eaLnBrk="1" latinLnBrk="0" hangingPunct="1">
            <a:defRPr sz="2800" b="1" kern="1200">
              <a:solidFill>
                <a:srgbClr val="FAFD00"/>
              </a:solidFill>
              <a:latin typeface="Times New Roman" panose="02020603050405020304" pitchFamily="18" charset="0"/>
              <a:ea typeface="+mn-ea"/>
              <a:cs typeface="+mn-cs"/>
            </a:defRPr>
          </a:lvl8pPr>
          <a:lvl9pPr marL="3657600" algn="l" defTabSz="914400" rtl="0" eaLnBrk="1" latinLnBrk="0" hangingPunct="1">
            <a:defRPr sz="2800" b="1" kern="1200">
              <a:solidFill>
                <a:srgbClr val="FAFD00"/>
              </a:solidFill>
              <a:latin typeface="Times New Roman" panose="02020603050405020304" pitchFamily="18" charset="0"/>
              <a:ea typeface="+mn-ea"/>
              <a:cs typeface="+mn-cs"/>
            </a:defRPr>
          </a:lvl9pPr>
        </a:lstStyle>
        <a:p>
          <a:pPr algn="ctr">
            <a:spcBef>
              <a:spcPct val="50000"/>
            </a:spcBef>
          </a:pPr>
          <a:r>
            <a:rPr lang="en-US" altLang="en-US" sz="2000">
              <a:solidFill>
                <a:schemeClr val="tx1"/>
              </a:solidFill>
            </a:rPr>
            <a:t>Boron Leaching Curve</a:t>
          </a:r>
        </a:p>
        <a:p>
          <a:pPr>
            <a:lnSpc>
              <a:spcPct val="60000"/>
            </a:lnSpc>
            <a:spcBef>
              <a:spcPct val="50000"/>
            </a:spcBef>
          </a:pPr>
          <a:r>
            <a:rPr lang="en-US" altLang="en-US" sz="1200">
              <a:solidFill>
                <a:schemeClr val="tx1"/>
              </a:solidFill>
            </a:rPr>
            <a:t>(Hoffman, 1980)</a:t>
          </a:r>
          <a:endParaRPr lang="en-US" altLang="en-US" sz="2000">
            <a:solidFill>
              <a:schemeClr val="tx1"/>
            </a:solidFill>
          </a:endParaRPr>
        </a:p>
      </xdr:txBody>
    </xdr:sp>
    <xdr:clientData/>
  </xdr:twoCellAnchor>
  <xdr:twoCellAnchor>
    <xdr:from>
      <xdr:col>6</xdr:col>
      <xdr:colOff>91440</xdr:colOff>
      <xdr:row>18</xdr:row>
      <xdr:rowOff>22860</xdr:rowOff>
    </xdr:from>
    <xdr:to>
      <xdr:col>11</xdr:col>
      <xdr:colOff>480060</xdr:colOff>
      <xdr:row>26</xdr:row>
      <xdr:rowOff>152400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848100" y="3947160"/>
          <a:ext cx="34366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1 (left) shows the depth of water per unit depth of soil required to leach the starting</a:t>
          </a:r>
          <a:r>
            <a:rPr lang="en-US" sz="1100" baseline="0"/>
            <a:t> level of soluble soil B concentration (saturation extract, left column) down to the desired soil concentration (top row).</a:t>
          </a:r>
        </a:p>
        <a:p>
          <a:endParaRPr lang="en-US" sz="1100" baseline="0"/>
        </a:p>
        <a:p>
          <a:r>
            <a:rPr lang="en-US" sz="1200" b="1" baseline="0"/>
            <a:t>Example:  </a:t>
          </a:r>
          <a:r>
            <a:rPr lang="en-US" sz="1100" baseline="0"/>
            <a:t>Starting soil B in the top 3 foot of rootzone = 3 ppm. I want to get down to 0.8 ppm.  Depth of leaching water required = 2.3 * 3 feet = </a:t>
          </a:r>
          <a:r>
            <a:rPr lang="en-US" sz="1100" b="1" baseline="0"/>
            <a:t>6.9 feet of water</a:t>
          </a:r>
          <a:endParaRPr lang="en-US" sz="1100" b="1"/>
        </a:p>
      </xdr:txBody>
    </xdr:sp>
    <xdr:clientData/>
  </xdr:twoCellAnchor>
  <xdr:twoCellAnchor>
    <xdr:from>
      <xdr:col>4</xdr:col>
      <xdr:colOff>7620</xdr:colOff>
      <xdr:row>22</xdr:row>
      <xdr:rowOff>114300</xdr:rowOff>
    </xdr:from>
    <xdr:to>
      <xdr:col>6</xdr:col>
      <xdr:colOff>152400</xdr:colOff>
      <xdr:row>23</xdr:row>
      <xdr:rowOff>137160</xdr:rowOff>
    </xdr:to>
    <xdr:cxnSp macro="">
      <xdr:nvCxnSpPr>
        <xdr:cNvPr id="8" name="Straight Arrow Connector 7">
          <a:extLst>
            <a:ext uri="{FF2B5EF4-FFF2-40B4-BE49-F238E27FC236}">
              <a16:creationId xmlns:a16="http://schemas.microsoft.com/office/drawing/2014/main" id="{00000000-0008-0000-0600-000008000000}"/>
            </a:ext>
          </a:extLst>
        </xdr:cNvPr>
        <xdr:cNvCxnSpPr/>
      </xdr:nvCxnSpPr>
      <xdr:spPr>
        <a:xfrm flipH="1" flipV="1">
          <a:off x="2545080" y="4716780"/>
          <a:ext cx="136398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7620</xdr:colOff>
          <xdr:row>0</xdr:row>
          <xdr:rowOff>114300</xdr:rowOff>
        </xdr:from>
        <xdr:to>
          <xdr:col>25</xdr:col>
          <xdr:colOff>114300</xdr:colOff>
          <xdr:row>27</xdr:row>
          <xdr:rowOff>121920</xdr:rowOff>
        </xdr:to>
        <xdr:pic>
          <xdr:nvPicPr>
            <xdr:cNvPr id="152890" name="Picture 8">
              <a:extLst>
                <a:ext uri="{FF2B5EF4-FFF2-40B4-BE49-F238E27FC236}">
                  <a16:creationId xmlns:a16="http://schemas.microsoft.com/office/drawing/2014/main" id="{00000000-0008-0000-0600-00003A550200}"/>
                </a:ext>
              </a:extLst>
            </xdr:cNvPr>
            <xdr:cNvPicPr>
              <a:picLocks noChangeAspect="1" noChangeArrowheads="1"/>
              <a:extLst>
                <a:ext uri="{84589F7E-364E-4C9E-8A38-B11213B215E9}">
                  <a14:cameraTool cellRange="$A$1:$L$27" spid="_x0000_s153035"/>
                </a:ext>
              </a:extLst>
            </xdr:cNvPicPr>
          </xdr:nvPicPr>
          <xdr:blipFill>
            <a:blip xmlns:r="http://schemas.openxmlformats.org/officeDocument/2006/relationships" r:embed="rId3"/>
            <a:srcRect/>
            <a:stretch>
              <a:fillRect/>
            </a:stretch>
          </xdr:blipFill>
          <xdr:spPr bwMode="auto">
            <a:xfrm>
              <a:off x="8031480" y="114300"/>
              <a:ext cx="7421880" cy="54559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3.xml><?xml version="1.0" encoding="utf-8"?>
<c:userShapes xmlns:c="http://schemas.openxmlformats.org/drawingml/2006/chart">
  <cdr:relSizeAnchor xmlns:cdr="http://schemas.openxmlformats.org/drawingml/2006/chartDrawing">
    <cdr:from>
      <cdr:x>0.17495</cdr:x>
      <cdr:y>0.65044</cdr:y>
    </cdr:from>
    <cdr:to>
      <cdr:x>0.5378</cdr:x>
      <cdr:y>0.76991</cdr:y>
    </cdr:to>
    <cdr:sp macro="" textlink="">
      <cdr:nvSpPr>
        <cdr:cNvPr id="2" name="TextBox 1"/>
        <cdr:cNvSpPr txBox="1"/>
      </cdr:nvSpPr>
      <cdr:spPr>
        <a:xfrm xmlns:a="http://schemas.openxmlformats.org/drawingml/2006/main">
          <a:off x="617220" y="2240280"/>
          <a:ext cx="128016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t>y</a:t>
          </a:r>
          <a:r>
            <a:rPr lang="en-US" sz="1600" b="1" baseline="0"/>
            <a:t> = 0.6/x</a:t>
          </a:r>
          <a:endParaRPr lang="en-US" sz="1600" b="1"/>
        </a:p>
      </cdr:txBody>
    </cdr:sp>
  </cdr:relSizeAnchor>
  <cdr:relSizeAnchor xmlns:cdr="http://schemas.openxmlformats.org/drawingml/2006/chartDrawing">
    <cdr:from>
      <cdr:x>0.29806</cdr:x>
      <cdr:y>0.54425</cdr:y>
    </cdr:from>
    <cdr:to>
      <cdr:x>0.37365</cdr:x>
      <cdr:y>0.67035</cdr:y>
    </cdr:to>
    <cdr:cxnSp macro="">
      <cdr:nvCxnSpPr>
        <cdr:cNvPr id="4" name="Straight Arrow Connector 3">
          <a:extLst xmlns:a="http://schemas.openxmlformats.org/drawingml/2006/main">
            <a:ext uri="{FF2B5EF4-FFF2-40B4-BE49-F238E27FC236}">
              <a16:creationId xmlns:a16="http://schemas.microsoft.com/office/drawing/2014/main" id="{CC62FDD0-08CD-5BF2-5862-A41D0176355A}"/>
            </a:ext>
          </a:extLst>
        </cdr:cNvPr>
        <cdr:cNvCxnSpPr/>
      </cdr:nvCxnSpPr>
      <cdr:spPr>
        <a:xfrm xmlns:a="http://schemas.openxmlformats.org/drawingml/2006/main" flipV="1">
          <a:off x="1051560" y="1874520"/>
          <a:ext cx="266700" cy="434340"/>
        </a:xfrm>
        <a:prstGeom xmlns:a="http://schemas.openxmlformats.org/drawingml/2006/main" prst="straightConnector1">
          <a:avLst/>
        </a:prstGeom>
        <a:ln xmlns:a="http://schemas.openxmlformats.org/drawingml/2006/main" w="38100">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3</xdr:col>
      <xdr:colOff>419100</xdr:colOff>
      <xdr:row>0</xdr:row>
      <xdr:rowOff>0</xdr:rowOff>
    </xdr:from>
    <xdr:to>
      <xdr:col>10</xdr:col>
      <xdr:colOff>60960</xdr:colOff>
      <xdr:row>0</xdr:row>
      <xdr:rowOff>0</xdr:rowOff>
    </xdr:to>
    <xdr:graphicFrame macro="">
      <xdr:nvGraphicFramePr>
        <xdr:cNvPr id="315264" name="Chart 1">
          <a:extLst>
            <a:ext uri="{FF2B5EF4-FFF2-40B4-BE49-F238E27FC236}">
              <a16:creationId xmlns:a16="http://schemas.microsoft.com/office/drawing/2014/main" id="{00000000-0008-0000-0700-000080CF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342900</xdr:colOff>
      <xdr:row>95</xdr:row>
      <xdr:rowOff>76200</xdr:rowOff>
    </xdr:from>
    <xdr:to>
      <xdr:col>12</xdr:col>
      <xdr:colOff>396240</xdr:colOff>
      <xdr:row>113</xdr:row>
      <xdr:rowOff>76200</xdr:rowOff>
    </xdr:to>
    <xdr:graphicFrame macro="">
      <xdr:nvGraphicFramePr>
        <xdr:cNvPr id="315265" name="Chart 4">
          <a:extLst>
            <a:ext uri="{FF2B5EF4-FFF2-40B4-BE49-F238E27FC236}">
              <a16:creationId xmlns:a16="http://schemas.microsoft.com/office/drawing/2014/main" id="{00000000-0008-0000-0700-000081CF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381000</xdr:colOff>
      <xdr:row>0</xdr:row>
      <xdr:rowOff>0</xdr:rowOff>
    </xdr:from>
    <xdr:to>
      <xdr:col>9</xdr:col>
      <xdr:colOff>38100</xdr:colOff>
      <xdr:row>0</xdr:row>
      <xdr:rowOff>0</xdr:rowOff>
    </xdr:to>
    <xdr:sp macro="" textlink="">
      <xdr:nvSpPr>
        <xdr:cNvPr id="10245" name="Text Box 5">
          <a:extLst>
            <a:ext uri="{FF2B5EF4-FFF2-40B4-BE49-F238E27FC236}">
              <a16:creationId xmlns:a16="http://schemas.microsoft.com/office/drawing/2014/main" id="{00000000-0008-0000-0700-000005280000}"/>
            </a:ext>
          </a:extLst>
        </xdr:cNvPr>
        <xdr:cNvSpPr txBox="1">
          <a:spLocks noChangeArrowheads="1"/>
        </xdr:cNvSpPr>
      </xdr:nvSpPr>
      <xdr:spPr bwMode="auto">
        <a:xfrm>
          <a:off x="4352925" y="0"/>
          <a:ext cx="1485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FLOOD ONLY</a:t>
          </a:r>
        </a:p>
      </xdr:txBody>
    </xdr:sp>
    <xdr:clientData/>
  </xdr:twoCellAnchor>
  <xdr:twoCellAnchor>
    <xdr:from>
      <xdr:col>0</xdr:col>
      <xdr:colOff>0</xdr:colOff>
      <xdr:row>19</xdr:row>
      <xdr:rowOff>38100</xdr:rowOff>
    </xdr:from>
    <xdr:to>
      <xdr:col>12</xdr:col>
      <xdr:colOff>188593</xdr:colOff>
      <xdr:row>20</xdr:row>
      <xdr:rowOff>276225</xdr:rowOff>
    </xdr:to>
    <xdr:sp macro="" textlink="">
      <xdr:nvSpPr>
        <xdr:cNvPr id="10246" name="Text Box 6">
          <a:extLst>
            <a:ext uri="{FF2B5EF4-FFF2-40B4-BE49-F238E27FC236}">
              <a16:creationId xmlns:a16="http://schemas.microsoft.com/office/drawing/2014/main" id="{00000000-0008-0000-0700-000006280000}"/>
            </a:ext>
          </a:extLst>
        </xdr:cNvPr>
        <xdr:cNvSpPr txBox="1">
          <a:spLocks noChangeArrowheads="1"/>
        </xdr:cNvSpPr>
      </xdr:nvSpPr>
      <xdr:spPr bwMode="auto">
        <a:xfrm>
          <a:off x="0" y="3248025"/>
          <a:ext cx="78105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Originally in:  Rhoades J.D. 1974. "Drainage for salinity control".  </a:t>
          </a:r>
          <a:r>
            <a:rPr lang="en-US" sz="1000" b="0" i="1" u="none" strike="noStrike" baseline="0">
              <a:solidFill>
                <a:srgbClr val="000000"/>
              </a:solidFill>
              <a:latin typeface="Arial"/>
              <a:cs typeface="Arial"/>
            </a:rPr>
            <a:t>Drainage for Agriculture</a:t>
          </a:r>
          <a:r>
            <a:rPr lang="en-US" sz="1000" b="0" i="0" u="none" strike="noStrike" baseline="0">
              <a:solidFill>
                <a:srgbClr val="000000"/>
              </a:solidFill>
              <a:latin typeface="Arial"/>
              <a:cs typeface="Arial"/>
            </a:rPr>
            <a:t>. Van Schilfgaarde J. (ed). Amer. Soc. Agron. Monograph No. 17, pp 433–462.</a:t>
          </a:r>
        </a:p>
      </xdr:txBody>
    </xdr:sp>
    <xdr:clientData/>
  </xdr:twoCellAnchor>
  <xdr:twoCellAnchor>
    <xdr:from>
      <xdr:col>9</xdr:col>
      <xdr:colOff>19050</xdr:colOff>
      <xdr:row>94</xdr:row>
      <xdr:rowOff>466725</xdr:rowOff>
    </xdr:from>
    <xdr:to>
      <xdr:col>12</xdr:col>
      <xdr:colOff>283866</xdr:colOff>
      <xdr:row>94</xdr:row>
      <xdr:rowOff>657225</xdr:rowOff>
    </xdr:to>
    <xdr:sp macro="" textlink="">
      <xdr:nvSpPr>
        <xdr:cNvPr id="10247" name="Text Box 7">
          <a:extLst>
            <a:ext uri="{FF2B5EF4-FFF2-40B4-BE49-F238E27FC236}">
              <a16:creationId xmlns:a16="http://schemas.microsoft.com/office/drawing/2014/main" id="{00000000-0008-0000-0700-000007280000}"/>
            </a:ext>
          </a:extLst>
        </xdr:cNvPr>
        <xdr:cNvSpPr txBox="1">
          <a:spLocks noChangeArrowheads="1"/>
        </xdr:cNvSpPr>
      </xdr:nvSpPr>
      <xdr:spPr bwMode="auto">
        <a:xfrm>
          <a:off x="5819775" y="17830800"/>
          <a:ext cx="20859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Flood curve is same as FAO 29</a:t>
          </a:r>
        </a:p>
      </xdr:txBody>
    </xdr:sp>
    <xdr:clientData/>
  </xdr:twoCellAnchor>
  <xdr:twoCellAnchor>
    <xdr:from>
      <xdr:col>0</xdr:col>
      <xdr:colOff>76200</xdr:colOff>
      <xdr:row>20</xdr:row>
      <xdr:rowOff>266700</xdr:rowOff>
    </xdr:from>
    <xdr:to>
      <xdr:col>10</xdr:col>
      <xdr:colOff>449580</xdr:colOff>
      <xdr:row>50</xdr:row>
      <xdr:rowOff>60960</xdr:rowOff>
    </xdr:to>
    <xdr:grpSp>
      <xdr:nvGrpSpPr>
        <xdr:cNvPr id="315269" name="Group 11">
          <a:extLst>
            <a:ext uri="{FF2B5EF4-FFF2-40B4-BE49-F238E27FC236}">
              <a16:creationId xmlns:a16="http://schemas.microsoft.com/office/drawing/2014/main" id="{00000000-0008-0000-0700-000085CF0400}"/>
            </a:ext>
          </a:extLst>
        </xdr:cNvPr>
        <xdr:cNvGrpSpPr>
          <a:grpSpLocks/>
        </xdr:cNvGrpSpPr>
      </xdr:nvGrpSpPr>
      <xdr:grpSpPr bwMode="auto">
        <a:xfrm>
          <a:off x="76200" y="3589867"/>
          <a:ext cx="6945630" cy="5731510"/>
          <a:chOff x="15" y="508"/>
          <a:chExt cx="595" cy="559"/>
        </a:xfrm>
      </xdr:grpSpPr>
      <xdr:pic>
        <xdr:nvPicPr>
          <xdr:cNvPr id="315288" name="Picture 9">
            <a:extLst>
              <a:ext uri="{FF2B5EF4-FFF2-40B4-BE49-F238E27FC236}">
                <a16:creationId xmlns:a16="http://schemas.microsoft.com/office/drawing/2014/main" id="{00000000-0008-0000-0700-000098CF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 y="508"/>
            <a:ext cx="595" cy="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250" name="Text Box 10">
            <a:extLst>
              <a:ext uri="{FF2B5EF4-FFF2-40B4-BE49-F238E27FC236}">
                <a16:creationId xmlns:a16="http://schemas.microsoft.com/office/drawing/2014/main" id="{00000000-0008-0000-0700-00000A280000}"/>
              </a:ext>
            </a:extLst>
          </xdr:cNvPr>
          <xdr:cNvSpPr txBox="1">
            <a:spLocks noChangeArrowheads="1"/>
          </xdr:cNvSpPr>
        </xdr:nvSpPr>
        <xdr:spPr bwMode="auto">
          <a:xfrm>
            <a:off x="376" y="575"/>
            <a:ext cx="156"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FAO 29</a:t>
            </a:r>
          </a:p>
        </xdr:txBody>
      </xdr:sp>
    </xdr:grpSp>
    <xdr:clientData/>
  </xdr:twoCellAnchor>
  <xdr:twoCellAnchor>
    <xdr:from>
      <xdr:col>7</xdr:col>
      <xdr:colOff>133350</xdr:colOff>
      <xdr:row>54</xdr:row>
      <xdr:rowOff>76200</xdr:rowOff>
    </xdr:from>
    <xdr:to>
      <xdr:col>16</xdr:col>
      <xdr:colOff>569597</xdr:colOff>
      <xdr:row>56</xdr:row>
      <xdr:rowOff>95250</xdr:rowOff>
    </xdr:to>
    <xdr:sp macro="" textlink="">
      <xdr:nvSpPr>
        <xdr:cNvPr id="10253" name="Text Box 13">
          <a:extLst>
            <a:ext uri="{FF2B5EF4-FFF2-40B4-BE49-F238E27FC236}">
              <a16:creationId xmlns:a16="http://schemas.microsoft.com/office/drawing/2014/main" id="{00000000-0008-0000-0700-00000D280000}"/>
            </a:ext>
          </a:extLst>
        </xdr:cNvPr>
        <xdr:cNvSpPr txBox="1">
          <a:spLocks noChangeArrowheads="1"/>
        </xdr:cNvSpPr>
      </xdr:nvSpPr>
      <xdr:spPr bwMode="auto">
        <a:xfrm>
          <a:off x="4714875" y="10039350"/>
          <a:ext cx="6219825"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Karen, R. 1996.  "Reclamation of saline, sodic, and boron-affected soils."  </a:t>
          </a:r>
          <a:r>
            <a:rPr lang="en-US" sz="1000" b="0" i="1" u="none" strike="noStrike" baseline="0">
              <a:solidFill>
                <a:srgbClr val="000000"/>
              </a:solidFill>
              <a:latin typeface="Arial"/>
              <a:cs typeface="Arial"/>
            </a:rPr>
            <a:t>Agricultural Salinity Assessment and Management</a:t>
          </a:r>
          <a:r>
            <a:rPr lang="en-US" sz="1000" b="0" i="0" u="none" strike="noStrike" baseline="0">
              <a:solidFill>
                <a:srgbClr val="000000"/>
              </a:solidFill>
              <a:latin typeface="Arial"/>
              <a:cs typeface="Arial"/>
            </a:rPr>
            <a:t>.  ASCE.  New York, N.Y.  Manual No. 71:410-415</a:t>
          </a:r>
        </a:p>
      </xdr:txBody>
    </xdr:sp>
    <xdr:clientData/>
  </xdr:twoCellAnchor>
  <xdr:twoCellAnchor>
    <xdr:from>
      <xdr:col>4</xdr:col>
      <xdr:colOff>281940</xdr:colOff>
      <xdr:row>61</xdr:row>
      <xdr:rowOff>91440</xdr:rowOff>
    </xdr:from>
    <xdr:to>
      <xdr:col>10</xdr:col>
      <xdr:colOff>373380</xdr:colOff>
      <xdr:row>76</xdr:row>
      <xdr:rowOff>83820</xdr:rowOff>
    </xdr:to>
    <xdr:graphicFrame macro="">
      <xdr:nvGraphicFramePr>
        <xdr:cNvPr id="315271" name="Chart 15">
          <a:extLst>
            <a:ext uri="{FF2B5EF4-FFF2-40B4-BE49-F238E27FC236}">
              <a16:creationId xmlns:a16="http://schemas.microsoft.com/office/drawing/2014/main" id="{00000000-0008-0000-0700-000087CF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352425</xdr:colOff>
      <xdr:row>57</xdr:row>
      <xdr:rowOff>38100</xdr:rowOff>
    </xdr:from>
    <xdr:to>
      <xdr:col>16</xdr:col>
      <xdr:colOff>398145</xdr:colOff>
      <xdr:row>59</xdr:row>
      <xdr:rowOff>228600</xdr:rowOff>
    </xdr:to>
    <xdr:sp macro="" textlink="">
      <xdr:nvSpPr>
        <xdr:cNvPr id="10257" name="Text Box 17">
          <a:extLst>
            <a:ext uri="{FF2B5EF4-FFF2-40B4-BE49-F238E27FC236}">
              <a16:creationId xmlns:a16="http://schemas.microsoft.com/office/drawing/2014/main" id="{00000000-0008-0000-0700-000011280000}"/>
            </a:ext>
          </a:extLst>
        </xdr:cNvPr>
        <xdr:cNvSpPr txBox="1">
          <a:spLocks noChangeArrowheads="1"/>
        </xdr:cNvSpPr>
      </xdr:nvSpPr>
      <xdr:spPr bwMode="auto">
        <a:xfrm>
          <a:off x="4933950" y="10487025"/>
          <a:ext cx="58293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Original Ref:</a:t>
          </a:r>
        </a:p>
        <a:p>
          <a:pPr algn="l" rtl="0">
            <a:defRPr sz="1000"/>
          </a:pPr>
          <a:r>
            <a:rPr lang="en-US" sz="1000" b="0" i="0" u="none" strike="noStrike" baseline="0">
              <a:solidFill>
                <a:srgbClr val="000000"/>
              </a:solidFill>
              <a:latin typeface="Arial"/>
              <a:cs typeface="Arial"/>
            </a:rPr>
            <a:t>Hoffman G.J. 1980 Guidelines for reclamation of salt-affected soils. Proc. Inter-American Salinity and Water Management Technology Conference. Juarez, Mexico. 11–12 December 1980. pp. 49–64.</a:t>
          </a:r>
        </a:p>
      </xdr:txBody>
    </xdr:sp>
    <xdr:clientData/>
  </xdr:twoCellAnchor>
  <xdr:twoCellAnchor>
    <xdr:from>
      <xdr:col>11</xdr:col>
      <xdr:colOff>76200</xdr:colOff>
      <xdr:row>19</xdr:row>
      <xdr:rowOff>160020</xdr:rowOff>
    </xdr:from>
    <xdr:to>
      <xdr:col>16</xdr:col>
      <xdr:colOff>483862</xdr:colOff>
      <xdr:row>22</xdr:row>
      <xdr:rowOff>57192</xdr:rowOff>
    </xdr:to>
    <xdr:sp macro="" textlink="">
      <xdr:nvSpPr>
        <xdr:cNvPr id="10258" name="Text Box 18">
          <a:extLst>
            <a:ext uri="{FF2B5EF4-FFF2-40B4-BE49-F238E27FC236}">
              <a16:creationId xmlns:a16="http://schemas.microsoft.com/office/drawing/2014/main" id="{00000000-0008-0000-0700-000012280000}"/>
            </a:ext>
          </a:extLst>
        </xdr:cNvPr>
        <xdr:cNvSpPr txBox="1">
          <a:spLocks noChangeArrowheads="1"/>
        </xdr:cNvSpPr>
      </xdr:nvSpPr>
      <xdr:spPr bwMode="auto">
        <a:xfrm>
          <a:off x="7096125" y="3362325"/>
          <a:ext cx="3752850" cy="685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1148" rIns="45720" bIns="0" anchor="t" upright="1"/>
        <a:lstStyle/>
        <a:p>
          <a:pPr algn="r" rtl="0">
            <a:defRPr sz="1000"/>
          </a:pPr>
          <a:r>
            <a:rPr lang="en-US" sz="2200" b="1" i="0" u="none" strike="noStrike" baseline="0">
              <a:solidFill>
                <a:srgbClr val="000000"/>
              </a:solidFill>
              <a:latin typeface="Arial"/>
              <a:cs typeface="Arial"/>
            </a:rPr>
            <a:t>METHOD 1:  Avg Rootzone ECe Rhodes 1974 (FAO 29)</a:t>
          </a:r>
        </a:p>
      </xdr:txBody>
    </xdr:sp>
    <xdr:clientData/>
  </xdr:twoCellAnchor>
  <xdr:twoCellAnchor>
    <xdr:from>
      <xdr:col>0</xdr:col>
      <xdr:colOff>66675</xdr:colOff>
      <xdr:row>123</xdr:row>
      <xdr:rowOff>93345</xdr:rowOff>
    </xdr:from>
    <xdr:to>
      <xdr:col>6</xdr:col>
      <xdr:colOff>495300</xdr:colOff>
      <xdr:row>126</xdr:row>
      <xdr:rowOff>121920</xdr:rowOff>
    </xdr:to>
    <xdr:sp macro="" textlink="">
      <xdr:nvSpPr>
        <xdr:cNvPr id="10260" name="Text Box 20">
          <a:extLst>
            <a:ext uri="{FF2B5EF4-FFF2-40B4-BE49-F238E27FC236}">
              <a16:creationId xmlns:a16="http://schemas.microsoft.com/office/drawing/2014/main" id="{00000000-0008-0000-0700-000014280000}"/>
            </a:ext>
          </a:extLst>
        </xdr:cNvPr>
        <xdr:cNvSpPr txBox="1">
          <a:spLocks noChangeArrowheads="1"/>
        </xdr:cNvSpPr>
      </xdr:nvSpPr>
      <xdr:spPr bwMode="auto">
        <a:xfrm>
          <a:off x="66675" y="23688675"/>
          <a:ext cx="440055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Hoffman, G.J. 1996.  "Leaching fraction and rootzone salinity control."  </a:t>
          </a:r>
          <a:r>
            <a:rPr lang="en-US" sz="1000" b="0" i="1" u="none" strike="noStrike" baseline="0">
              <a:solidFill>
                <a:srgbClr val="000000"/>
              </a:solidFill>
              <a:latin typeface="Arial"/>
              <a:cs typeface="Arial"/>
            </a:rPr>
            <a:t>Agricultural Salinity Assessment and Management</a:t>
          </a:r>
          <a:r>
            <a:rPr lang="en-US" sz="1000" b="0" i="0" u="none" strike="noStrike" baseline="0">
              <a:solidFill>
                <a:srgbClr val="000000"/>
              </a:solidFill>
              <a:latin typeface="Arial"/>
              <a:cs typeface="Arial"/>
            </a:rPr>
            <a:t>, ASCE.  New York, N.Y.  Manual No. 71:241-247</a:t>
          </a:r>
        </a:p>
      </xdr:txBody>
    </xdr:sp>
    <xdr:clientData/>
  </xdr:twoCellAnchor>
  <xdr:twoCellAnchor>
    <xdr:from>
      <xdr:col>7</xdr:col>
      <xdr:colOff>19050</xdr:colOff>
      <xdr:row>123</xdr:row>
      <xdr:rowOff>57150</xdr:rowOff>
    </xdr:from>
    <xdr:to>
      <xdr:col>18</xdr:col>
      <xdr:colOff>9525</xdr:colOff>
      <xdr:row>126</xdr:row>
      <xdr:rowOff>93428</xdr:rowOff>
    </xdr:to>
    <xdr:sp macro="" textlink="">
      <xdr:nvSpPr>
        <xdr:cNvPr id="10261" name="Text Box 21">
          <a:extLst>
            <a:ext uri="{FF2B5EF4-FFF2-40B4-BE49-F238E27FC236}">
              <a16:creationId xmlns:a16="http://schemas.microsoft.com/office/drawing/2014/main" id="{00000000-0008-0000-0700-000015280000}"/>
            </a:ext>
          </a:extLst>
        </xdr:cNvPr>
        <xdr:cNvSpPr txBox="1">
          <a:spLocks noChangeArrowheads="1"/>
        </xdr:cNvSpPr>
      </xdr:nvSpPr>
      <xdr:spPr bwMode="auto">
        <a:xfrm>
          <a:off x="4600575" y="23660100"/>
          <a:ext cx="70008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Original Ref:</a:t>
          </a:r>
        </a:p>
        <a:p>
          <a:pPr algn="l" rtl="0">
            <a:defRPr sz="1000"/>
          </a:pPr>
          <a:r>
            <a:rPr lang="en-US" sz="1000" b="0" i="0" u="none" strike="noStrike" baseline="0">
              <a:solidFill>
                <a:srgbClr val="000000"/>
              </a:solidFill>
              <a:latin typeface="Arial"/>
              <a:cs typeface="Arial"/>
            </a:rPr>
            <a:t>Hoffman G.J., and van Genuchten, M.Th.  1983.  "Water management for salinity control."  </a:t>
          </a:r>
          <a:r>
            <a:rPr lang="en-US" sz="1000" b="0" i="1" u="none" strike="noStrike" baseline="0">
              <a:solidFill>
                <a:srgbClr val="000000"/>
              </a:solidFill>
              <a:latin typeface="Arial"/>
              <a:cs typeface="Arial"/>
            </a:rPr>
            <a:t>Limitations to Efficient Water Use in Crop Production, </a:t>
          </a:r>
          <a:r>
            <a:rPr lang="en-US" sz="1000" b="0" i="0" u="none" strike="noStrike" baseline="0">
              <a:solidFill>
                <a:srgbClr val="000000"/>
              </a:solidFill>
              <a:latin typeface="Arial"/>
              <a:cs typeface="Arial"/>
            </a:rPr>
            <a:t>Chapter 2C. H.Taylor, W.Jordan, and T.Sinclair, eds. Amer. Soc, Agron. Monograph. pp. 73-85.</a:t>
          </a:r>
        </a:p>
      </xdr:txBody>
    </xdr:sp>
    <xdr:clientData/>
  </xdr:twoCellAnchor>
  <xdr:twoCellAnchor>
    <xdr:from>
      <xdr:col>0</xdr:col>
      <xdr:colOff>167640</xdr:colOff>
      <xdr:row>126</xdr:row>
      <xdr:rowOff>160020</xdr:rowOff>
    </xdr:from>
    <xdr:to>
      <xdr:col>8</xdr:col>
      <xdr:colOff>449580</xdr:colOff>
      <xdr:row>153</xdr:row>
      <xdr:rowOff>144780</xdr:rowOff>
    </xdr:to>
    <xdr:pic>
      <xdr:nvPicPr>
        <xdr:cNvPr id="315276" name="Picture 23" descr="Fig. 7">
          <a:extLst>
            <a:ext uri="{FF2B5EF4-FFF2-40B4-BE49-F238E27FC236}">
              <a16:creationId xmlns:a16="http://schemas.microsoft.com/office/drawing/2014/main" id="{00000000-0008-0000-0700-00008CCF0400}"/>
            </a:ext>
          </a:extLst>
        </xdr:cNvPr>
        <xdr:cNvPicPr>
          <a:picLocks noChangeAspect="1" noChangeArrowheads="1"/>
        </xdr:cNvPicPr>
      </xdr:nvPicPr>
      <xdr:blipFill>
        <a:blip xmlns:r="http://schemas.openxmlformats.org/officeDocument/2006/relationships" r:embed="rId5">
          <a:lum contrast="12000"/>
          <a:extLst>
            <a:ext uri="{28A0092B-C50C-407E-A947-70E740481C1C}">
              <a14:useLocalDpi xmlns:a14="http://schemas.microsoft.com/office/drawing/2010/main" val="0"/>
            </a:ext>
          </a:extLst>
        </a:blip>
        <a:srcRect/>
        <a:stretch>
          <a:fillRect/>
        </a:stretch>
      </xdr:blipFill>
      <xdr:spPr bwMode="auto">
        <a:xfrm>
          <a:off x="167640" y="24925020"/>
          <a:ext cx="5715000" cy="525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590550</xdr:colOff>
      <xdr:row>51</xdr:row>
      <xdr:rowOff>142875</xdr:rowOff>
    </xdr:from>
    <xdr:to>
      <xdr:col>17</xdr:col>
      <xdr:colOff>226697</xdr:colOff>
      <xdr:row>54</xdr:row>
      <xdr:rowOff>57150</xdr:rowOff>
    </xdr:to>
    <xdr:sp macro="" textlink="">
      <xdr:nvSpPr>
        <xdr:cNvPr id="10264" name="Text Box 24">
          <a:extLst>
            <a:ext uri="{FF2B5EF4-FFF2-40B4-BE49-F238E27FC236}">
              <a16:creationId xmlns:a16="http://schemas.microsoft.com/office/drawing/2014/main" id="{00000000-0008-0000-0700-000018280000}"/>
            </a:ext>
          </a:extLst>
        </xdr:cNvPr>
        <xdr:cNvSpPr txBox="1">
          <a:spLocks noChangeArrowheads="1"/>
        </xdr:cNvSpPr>
      </xdr:nvSpPr>
      <xdr:spPr bwMode="auto">
        <a:xfrm>
          <a:off x="4562475" y="9620250"/>
          <a:ext cx="661035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1148" rIns="45720" bIns="0" anchor="t" upright="1"/>
        <a:lstStyle/>
        <a:p>
          <a:pPr algn="r" rtl="0">
            <a:defRPr sz="1000"/>
          </a:pPr>
          <a:r>
            <a:rPr lang="en-US" sz="2200" b="1" i="0" u="none" strike="noStrike" baseline="0">
              <a:solidFill>
                <a:srgbClr val="000000"/>
              </a:solidFill>
              <a:latin typeface="Arial"/>
              <a:cs typeface="Arial"/>
            </a:rPr>
            <a:t>METHOD 2:  Avg Rootzone ECe Hoffman 1980</a:t>
          </a:r>
        </a:p>
      </xdr:txBody>
    </xdr:sp>
    <xdr:clientData/>
  </xdr:twoCellAnchor>
  <xdr:twoCellAnchor>
    <xdr:from>
      <xdr:col>9</xdr:col>
      <xdr:colOff>85725</xdr:colOff>
      <xdr:row>127</xdr:row>
      <xdr:rowOff>66675</xdr:rowOff>
    </xdr:from>
    <xdr:to>
      <xdr:col>15</xdr:col>
      <xdr:colOff>510533</xdr:colOff>
      <xdr:row>130</xdr:row>
      <xdr:rowOff>131485</xdr:rowOff>
    </xdr:to>
    <xdr:sp macro="" textlink="">
      <xdr:nvSpPr>
        <xdr:cNvPr id="10265" name="Text Box 25">
          <a:extLst>
            <a:ext uri="{FF2B5EF4-FFF2-40B4-BE49-F238E27FC236}">
              <a16:creationId xmlns:a16="http://schemas.microsoft.com/office/drawing/2014/main" id="{00000000-0008-0000-0700-000019280000}"/>
            </a:ext>
          </a:extLst>
        </xdr:cNvPr>
        <xdr:cNvSpPr txBox="1">
          <a:spLocks noChangeArrowheads="1"/>
        </xdr:cNvSpPr>
      </xdr:nvSpPr>
      <xdr:spPr bwMode="auto">
        <a:xfrm>
          <a:off x="5886450" y="24317325"/>
          <a:ext cx="42576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1148" rIns="45720" bIns="0" anchor="t" upright="1"/>
        <a:lstStyle/>
        <a:p>
          <a:pPr algn="r" rtl="0">
            <a:defRPr sz="1000"/>
          </a:pPr>
          <a:r>
            <a:rPr lang="en-US" sz="2200" b="1" i="0" u="none" strike="noStrike" baseline="0">
              <a:solidFill>
                <a:srgbClr val="000000"/>
              </a:solidFill>
              <a:latin typeface="Arial"/>
              <a:cs typeface="Arial"/>
            </a:rPr>
            <a:t>METHOD 4:  Avg Rootzone ECe Hoffman 1983</a:t>
          </a:r>
        </a:p>
      </xdr:txBody>
    </xdr:sp>
    <xdr:clientData/>
  </xdr:twoCellAnchor>
  <mc:AlternateContent xmlns:mc="http://schemas.openxmlformats.org/markup-compatibility/2006">
    <mc:Choice xmlns:a14="http://schemas.microsoft.com/office/drawing/2010/main" Requires="a14">
      <xdr:twoCellAnchor editAs="oneCell">
        <xdr:from>
          <xdr:col>16</xdr:col>
          <xdr:colOff>47625</xdr:colOff>
          <xdr:row>127</xdr:row>
          <xdr:rowOff>180975</xdr:rowOff>
        </xdr:from>
        <xdr:to>
          <xdr:col>20</xdr:col>
          <xdr:colOff>85725</xdr:colOff>
          <xdr:row>130</xdr:row>
          <xdr:rowOff>66675</xdr:rowOff>
        </xdr:to>
        <xdr:sp macro="" textlink="">
          <xdr:nvSpPr>
            <xdr:cNvPr id="10266" name="Object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39</xdr:row>
          <xdr:rowOff>180975</xdr:rowOff>
        </xdr:from>
        <xdr:to>
          <xdr:col>10</xdr:col>
          <xdr:colOff>285750</xdr:colOff>
          <xdr:row>44</xdr:row>
          <xdr:rowOff>66675</xdr:rowOff>
        </xdr:to>
        <xdr:sp macro="" textlink="">
          <xdr:nvSpPr>
            <xdr:cNvPr id="10268" name="Object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77</xdr:row>
          <xdr:rowOff>133350</xdr:rowOff>
        </xdr:from>
        <xdr:to>
          <xdr:col>11</xdr:col>
          <xdr:colOff>333375</xdr:colOff>
          <xdr:row>87</xdr:row>
          <xdr:rowOff>66675</xdr:rowOff>
        </xdr:to>
        <xdr:sp macro="" textlink="">
          <xdr:nvSpPr>
            <xdr:cNvPr id="10270" name="Object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247017</xdr:colOff>
      <xdr:row>20</xdr:row>
      <xdr:rowOff>118533</xdr:rowOff>
    </xdr:from>
    <xdr:to>
      <xdr:col>10</xdr:col>
      <xdr:colOff>384177</xdr:colOff>
      <xdr:row>40</xdr:row>
      <xdr:rowOff>42333</xdr:rowOff>
    </xdr:to>
    <xdr:sp macro="" textlink="">
      <xdr:nvSpPr>
        <xdr:cNvPr id="10271" name="Text Box 31">
          <a:extLst>
            <a:ext uri="{FF2B5EF4-FFF2-40B4-BE49-F238E27FC236}">
              <a16:creationId xmlns:a16="http://schemas.microsoft.com/office/drawing/2014/main" id="{00000000-0008-0000-0700-00001F280000}"/>
            </a:ext>
          </a:extLst>
        </xdr:cNvPr>
        <xdr:cNvSpPr txBox="1">
          <a:spLocks noChangeArrowheads="1"/>
        </xdr:cNvSpPr>
      </xdr:nvSpPr>
      <xdr:spPr bwMode="auto">
        <a:xfrm>
          <a:off x="247017" y="3589866"/>
          <a:ext cx="6791960" cy="409786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200" b="1" i="0" u="sng" strike="noStrike" baseline="0">
              <a:solidFill>
                <a:srgbClr val="000000"/>
              </a:solidFill>
              <a:latin typeface="Arial"/>
              <a:cs typeface="Arial"/>
            </a:rPr>
            <a:t>EXAMPLE CONDITIONS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DATA:</a:t>
          </a:r>
          <a:r>
            <a:rPr lang="en-US" sz="1200" b="0" i="0" u="none" strike="noStrike" baseline="0">
              <a:solidFill>
                <a:srgbClr val="000000"/>
              </a:solidFill>
              <a:latin typeface="Arial"/>
              <a:cs typeface="Arial"/>
            </a:rPr>
            <a:t>  -Average applied water electroconductivity (ECi) or chloride concentration.</a:t>
          </a:r>
        </a:p>
        <a:p>
          <a:pPr algn="l" rtl="0">
            <a:defRPr sz="1000"/>
          </a:pPr>
          <a:r>
            <a:rPr lang="en-US" sz="1200" b="0" i="0" u="none" strike="noStrike" baseline="0">
              <a:solidFill>
                <a:srgbClr val="000000"/>
              </a:solidFill>
              <a:latin typeface="Arial"/>
              <a:cs typeface="Arial"/>
            </a:rPr>
            <a:t>              -Average soil saturation extract rootzone EC (ECe) or chloride concentration.</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example assumes no specific rootzone depth; only that an average end of season rootzone soil saturation extract ECe has been obtained for the entire crop rootzone.  The calculated Leaching Requirement (LR) then represents the actual leaching fraction, allowing for a calculation of the field level Water Use Efficiency.</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Conditions:  </a:t>
          </a:r>
          <a:r>
            <a:rPr lang="en-US" sz="1200" b="0" i="0" u="none" strike="noStrike" baseline="0">
              <a:solidFill>
                <a:srgbClr val="000000"/>
              </a:solidFill>
              <a:latin typeface="Arial"/>
              <a:cs typeface="Arial"/>
            </a:rPr>
            <a:t>No significant precipitation of dissolved salts carried in with irrigation water nor dissolution of native salts within the soil profile has occurrs.  Calculating this mass balance using chloride concentrations is prone to less error than using ECe.</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CAUTION:</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A single heavy irrigation event at the end of the season</a:t>
          </a:r>
          <a:r>
            <a:rPr lang="en-US" sz="1200" b="0" i="0" u="none" strike="noStrike" baseline="0">
              <a:solidFill>
                <a:srgbClr val="000000"/>
              </a:solidFill>
              <a:latin typeface="Arial"/>
              <a:cs typeface="Arial"/>
            </a:rPr>
            <a:t> when there is reduced crop ET can result in considerable leaching and displacement of salts in the top 3 to 4 feet of soil.  This final salinity or chloride mass balance will more reflect that final application efficiency then the true average for the whole season -- </a:t>
          </a:r>
          <a:r>
            <a:rPr lang="en-US" sz="1200" b="1" i="0" u="none" strike="noStrike" baseline="0">
              <a:solidFill>
                <a:srgbClr val="000000"/>
              </a:solidFill>
              <a:latin typeface="Arial"/>
              <a:cs typeface="Arial"/>
            </a:rPr>
            <a:t>giving an erroneously low seasonal WUE.</a:t>
          </a:r>
          <a:r>
            <a:rPr lang="en-US" sz="1200" b="0" i="0" u="none" strike="noStrike" baseline="0">
              <a:solidFill>
                <a:srgbClr val="000000"/>
              </a:solidFill>
              <a:latin typeface="Arial"/>
              <a:cs typeface="Arial"/>
            </a:rPr>
            <a:t>  Conversely, a "light" irrigation or rain event at the end of the season with close to 100% WUE will not artificially increase the seasonal WUE as the salts are retained within the rootzone and will just be added in with the total seasonal mass balance.</a:t>
          </a:r>
        </a:p>
      </xdr:txBody>
    </xdr:sp>
    <xdr:clientData/>
  </xdr:twoCellAnchor>
  <mc:AlternateContent xmlns:mc="http://schemas.openxmlformats.org/markup-compatibility/2006">
    <mc:Choice xmlns:a14="http://schemas.microsoft.com/office/drawing/2010/main" Requires="a14">
      <xdr:twoCellAnchor editAs="oneCell">
        <xdr:from>
          <xdr:col>6</xdr:col>
          <xdr:colOff>95250</xdr:colOff>
          <xdr:row>44</xdr:row>
          <xdr:rowOff>104775</xdr:rowOff>
        </xdr:from>
        <xdr:to>
          <xdr:col>10</xdr:col>
          <xdr:colOff>457200</xdr:colOff>
          <xdr:row>46</xdr:row>
          <xdr:rowOff>161925</xdr:rowOff>
        </xdr:to>
        <xdr:sp macro="" textlink="">
          <xdr:nvSpPr>
            <xdr:cNvPr id="10272" name="Object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76</xdr:row>
          <xdr:rowOff>152400</xdr:rowOff>
        </xdr:from>
        <xdr:to>
          <xdr:col>6</xdr:col>
          <xdr:colOff>171450</xdr:colOff>
          <xdr:row>79</xdr:row>
          <xdr:rowOff>38100</xdr:rowOff>
        </xdr:to>
        <xdr:sp macro="" textlink="">
          <xdr:nvSpPr>
            <xdr:cNvPr id="10273" name="Object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11</xdr:col>
      <xdr:colOff>68792</xdr:colOff>
      <xdr:row>59</xdr:row>
      <xdr:rowOff>368300</xdr:rowOff>
    </xdr:from>
    <xdr:to>
      <xdr:col>20</xdr:col>
      <xdr:colOff>385234</xdr:colOff>
      <xdr:row>79</xdr:row>
      <xdr:rowOff>29634</xdr:rowOff>
    </xdr:to>
    <xdr:sp macro="" textlink="">
      <xdr:nvSpPr>
        <xdr:cNvPr id="10274" name="Text Box 34">
          <a:extLst>
            <a:ext uri="{FF2B5EF4-FFF2-40B4-BE49-F238E27FC236}">
              <a16:creationId xmlns:a16="http://schemas.microsoft.com/office/drawing/2014/main" id="{00000000-0008-0000-0700-000022280000}"/>
            </a:ext>
          </a:extLst>
        </xdr:cNvPr>
        <xdr:cNvSpPr txBox="1">
          <a:spLocks noChangeArrowheads="1"/>
        </xdr:cNvSpPr>
      </xdr:nvSpPr>
      <xdr:spPr bwMode="auto">
        <a:xfrm>
          <a:off x="7333192" y="11281833"/>
          <a:ext cx="6403975" cy="37507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200" b="1" i="0" u="sng" strike="noStrike" baseline="0">
              <a:solidFill>
                <a:srgbClr val="000000"/>
              </a:solidFill>
              <a:latin typeface="Arial"/>
              <a:cs typeface="Arial"/>
            </a:rPr>
            <a:t>EXAMPLE CONDITIONS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DATA:</a:t>
          </a:r>
          <a:r>
            <a:rPr lang="en-US" sz="1200" b="0" i="0" u="none" strike="noStrike" baseline="0">
              <a:solidFill>
                <a:srgbClr val="000000"/>
              </a:solidFill>
              <a:latin typeface="Arial"/>
              <a:cs typeface="Arial"/>
            </a:rPr>
            <a:t> -Average applied water electroconductivity (ECi) or chloride concentration.</a:t>
          </a:r>
        </a:p>
        <a:p>
          <a:pPr algn="l" rtl="0">
            <a:defRPr sz="1000"/>
          </a:pPr>
          <a:r>
            <a:rPr lang="en-US" sz="1200" b="0" i="0" u="none" strike="noStrike" baseline="0">
              <a:solidFill>
                <a:srgbClr val="000000"/>
              </a:solidFill>
              <a:latin typeface="Arial"/>
              <a:cs typeface="Arial"/>
            </a:rPr>
            <a:t>              -Average soil saturation extract rootzone EC (ECe) or soil chloride concentration.</a:t>
          </a:r>
        </a:p>
        <a:p>
          <a:pPr algn="l" rtl="0">
            <a:defRPr sz="1000"/>
          </a:pPr>
          <a:r>
            <a:rPr lang="en-US" sz="1200" b="0" i="0" u="none" strike="noStrike" baseline="0">
              <a:solidFill>
                <a:srgbClr val="000000"/>
              </a:solidFill>
              <a:latin typeface="Arial"/>
              <a:cs typeface="Arial"/>
            </a:rPr>
            <a:t>              -Rootzone depth:  assumed 6 foot for this example.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example assumes that a roughly steady-state ratio of the average rootzone EC (or Cl) / average applied water EC (or Cl) concentration will result from a given amount of leaching -- basically the same mass balance principle as the above example.  The difference here is that Hoffman developed the empiracle constant "k" (see chart) from hundreds of before and after soil analyses given a certain depth of leaching (either continuous, flood, or serial applications by sprinkler, but essentially as one leaching event over a short period of time) where the final required leaching is given in terms of depth of water / depth of soil.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example simply takes this calculated leaching requirement and multiplies it by a 6 foot rootzone to estimated a total leaching depth necessary to maintain the desired rootzone soil ECe / ECirrig ratio.and final WUE.</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The same conditions and caution apply as above.</a:t>
          </a:r>
        </a:p>
      </xdr:txBody>
    </xdr:sp>
    <xdr:clientData/>
  </xdr:twoCellAnchor>
  <xdr:twoCellAnchor>
    <xdr:from>
      <xdr:col>0</xdr:col>
      <xdr:colOff>518583</xdr:colOff>
      <xdr:row>94</xdr:row>
      <xdr:rowOff>25400</xdr:rowOff>
    </xdr:from>
    <xdr:to>
      <xdr:col>7</xdr:col>
      <xdr:colOff>186266</xdr:colOff>
      <xdr:row>94</xdr:row>
      <xdr:rowOff>721784</xdr:rowOff>
    </xdr:to>
    <xdr:sp macro="" textlink="">
      <xdr:nvSpPr>
        <xdr:cNvPr id="10275" name="Text Box 35">
          <a:extLst>
            <a:ext uri="{FF2B5EF4-FFF2-40B4-BE49-F238E27FC236}">
              <a16:creationId xmlns:a16="http://schemas.microsoft.com/office/drawing/2014/main" id="{00000000-0008-0000-0700-000023280000}"/>
            </a:ext>
          </a:extLst>
        </xdr:cNvPr>
        <xdr:cNvSpPr txBox="1">
          <a:spLocks noChangeArrowheads="1"/>
        </xdr:cNvSpPr>
      </xdr:nvSpPr>
      <xdr:spPr bwMode="auto">
        <a:xfrm>
          <a:off x="518583" y="17703800"/>
          <a:ext cx="4493683" cy="6963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Rhodes, J.D. and J. Loveday. 1990  "Salinity related processes operating in irrigated soil-plant-water systems". </a:t>
          </a:r>
          <a:r>
            <a:rPr lang="en-US" sz="1000" b="0" i="1" u="none" strike="noStrike" baseline="0">
              <a:solidFill>
                <a:srgbClr val="000000"/>
              </a:solidFill>
              <a:latin typeface="Arial"/>
              <a:cs typeface="Arial"/>
            </a:rPr>
            <a:t>Irrigation of Agricultural Crops. </a:t>
          </a:r>
          <a:r>
            <a:rPr lang="en-US" sz="1000" b="0" i="0" u="none" strike="noStrike" baseline="0">
              <a:solidFill>
                <a:srgbClr val="000000"/>
              </a:solidFill>
              <a:latin typeface="Arial"/>
              <a:cs typeface="Arial"/>
            </a:rPr>
            <a:t>Eds B.A. Stewart and D.R. Nielsen. Amer. Soc. Agron., Madison, WI. Monograph No.30:1107-1114</a:t>
          </a:r>
        </a:p>
      </xdr:txBody>
    </xdr:sp>
    <xdr:clientData/>
  </xdr:twoCellAnchor>
  <xdr:twoCellAnchor>
    <xdr:from>
      <xdr:col>0</xdr:col>
      <xdr:colOff>19050</xdr:colOff>
      <xdr:row>89</xdr:row>
      <xdr:rowOff>121920</xdr:rowOff>
    </xdr:from>
    <xdr:to>
      <xdr:col>11</xdr:col>
      <xdr:colOff>0</xdr:colOff>
      <xdr:row>92</xdr:row>
      <xdr:rowOff>142902</xdr:rowOff>
    </xdr:to>
    <xdr:sp macro="" textlink="">
      <xdr:nvSpPr>
        <xdr:cNvPr id="10276" name="Text Box 36">
          <a:extLst>
            <a:ext uri="{FF2B5EF4-FFF2-40B4-BE49-F238E27FC236}">
              <a16:creationId xmlns:a16="http://schemas.microsoft.com/office/drawing/2014/main" id="{00000000-0008-0000-0700-000024280000}"/>
            </a:ext>
          </a:extLst>
        </xdr:cNvPr>
        <xdr:cNvSpPr txBox="1">
          <a:spLocks noChangeArrowheads="1"/>
        </xdr:cNvSpPr>
      </xdr:nvSpPr>
      <xdr:spPr bwMode="auto">
        <a:xfrm>
          <a:off x="19050" y="16668750"/>
          <a:ext cx="70008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Original Ref:</a:t>
          </a:r>
        </a:p>
        <a:p>
          <a:pPr algn="l" rtl="0">
            <a:defRPr sz="1000"/>
          </a:pPr>
          <a:r>
            <a:rPr lang="en-US" sz="1000" b="0" i="0" u="none" strike="noStrike" baseline="0">
              <a:solidFill>
                <a:srgbClr val="000000"/>
              </a:solidFill>
              <a:latin typeface="Arial"/>
              <a:cs typeface="Arial"/>
            </a:rPr>
            <a:t>Rhoads, J.D.  1982.  Reclamation and management of salt-affected soils after drainage.  p.123-197.  </a:t>
          </a:r>
          <a:r>
            <a:rPr lang="en-US" sz="1000" b="0" i="1" u="none" strike="noStrike" baseline="0">
              <a:solidFill>
                <a:srgbClr val="000000"/>
              </a:solidFill>
              <a:latin typeface="Arial"/>
              <a:cs typeface="Arial"/>
            </a:rPr>
            <a:t>In</a:t>
          </a:r>
          <a:r>
            <a:rPr lang="en-US" sz="1000" b="0" i="0" u="none" strike="noStrike" baseline="0">
              <a:solidFill>
                <a:srgbClr val="000000"/>
              </a:solidFill>
              <a:latin typeface="Arial"/>
              <a:cs typeface="Arial"/>
            </a:rPr>
            <a:t> Proc. 1st Annual Westen Provincial Conference Tationalization Water Soil Resources Manage. Lethbridge, Alberta, Canada, November.</a:t>
          </a:r>
        </a:p>
      </xdr:txBody>
    </xdr:sp>
    <xdr:clientData/>
  </xdr:twoCellAnchor>
  <xdr:twoCellAnchor>
    <xdr:from>
      <xdr:col>0</xdr:col>
      <xdr:colOff>45720</xdr:colOff>
      <xdr:row>0</xdr:row>
      <xdr:rowOff>53340</xdr:rowOff>
    </xdr:from>
    <xdr:to>
      <xdr:col>7</xdr:col>
      <xdr:colOff>373380</xdr:colOff>
      <xdr:row>14</xdr:row>
      <xdr:rowOff>68580</xdr:rowOff>
    </xdr:to>
    <xdr:grpSp>
      <xdr:nvGrpSpPr>
        <xdr:cNvPr id="315283" name="Group 41">
          <a:extLst>
            <a:ext uri="{FF2B5EF4-FFF2-40B4-BE49-F238E27FC236}">
              <a16:creationId xmlns:a16="http://schemas.microsoft.com/office/drawing/2014/main" id="{00000000-0008-0000-0700-000093CF0400}"/>
            </a:ext>
          </a:extLst>
        </xdr:cNvPr>
        <xdr:cNvGrpSpPr>
          <a:grpSpLocks/>
        </xdr:cNvGrpSpPr>
      </xdr:nvGrpSpPr>
      <xdr:grpSpPr bwMode="auto">
        <a:xfrm>
          <a:off x="45720" y="53340"/>
          <a:ext cx="5058410" cy="2311823"/>
          <a:chOff x="399" y="2690"/>
          <a:chExt cx="515" cy="246"/>
        </a:xfrm>
      </xdr:grpSpPr>
      <xdr:sp macro="" textlink="">
        <xdr:nvSpPr>
          <xdr:cNvPr id="10278" name="Text Box 38">
            <a:extLst>
              <a:ext uri="{FF2B5EF4-FFF2-40B4-BE49-F238E27FC236}">
                <a16:creationId xmlns:a16="http://schemas.microsoft.com/office/drawing/2014/main" id="{00000000-0008-0000-0700-000026280000}"/>
              </a:ext>
            </a:extLst>
          </xdr:cNvPr>
          <xdr:cNvSpPr txBox="1">
            <a:spLocks noChangeArrowheads="1"/>
          </xdr:cNvSpPr>
        </xdr:nvSpPr>
        <xdr:spPr bwMode="auto">
          <a:xfrm>
            <a:off x="399" y="2690"/>
            <a:ext cx="515" cy="2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In its simplest form, the leaching fraction (LF) or water percolating below the rootzone can be reduced to a simple mass balance of salt in, salt out:</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Where:</a:t>
            </a:r>
          </a:p>
          <a:p>
            <a:pPr algn="l" rtl="0">
              <a:defRPr sz="1000"/>
            </a:pPr>
            <a:r>
              <a:rPr lang="en-US" sz="1200" b="1" i="0" u="none" strike="noStrike" baseline="0">
                <a:solidFill>
                  <a:srgbClr val="000000"/>
                </a:solidFill>
                <a:latin typeface="Times New Roman"/>
                <a:cs typeface="Times New Roman"/>
              </a:rPr>
              <a:t>D</a:t>
            </a:r>
            <a:r>
              <a:rPr lang="en-US" sz="1200" b="1" i="0" u="none" strike="noStrike" baseline="-25000">
                <a:solidFill>
                  <a:srgbClr val="000000"/>
                </a:solidFill>
                <a:latin typeface="Times New Roman"/>
                <a:cs typeface="Times New Roman"/>
              </a:rPr>
              <a:t>dw</a:t>
            </a:r>
            <a:r>
              <a:rPr lang="en-US" sz="1200" b="1"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 depth of drain water below rootzone</a:t>
            </a:r>
          </a:p>
          <a:p>
            <a:pPr algn="l" rtl="0">
              <a:defRPr sz="1000"/>
            </a:pPr>
            <a:r>
              <a:rPr lang="en-US" sz="1200" b="1" i="0" u="none" strike="noStrike" baseline="0">
                <a:solidFill>
                  <a:srgbClr val="000000"/>
                </a:solidFill>
                <a:latin typeface="Times New Roman"/>
                <a:cs typeface="Times New Roman"/>
              </a:rPr>
              <a:t>D</a:t>
            </a:r>
            <a:r>
              <a:rPr lang="en-US" sz="1200" b="1" i="0" u="none" strike="noStrike" baseline="-25000">
                <a:solidFill>
                  <a:srgbClr val="000000"/>
                </a:solidFill>
                <a:latin typeface="Times New Roman"/>
                <a:cs typeface="Times New Roman"/>
              </a:rPr>
              <a:t>iw</a:t>
            </a:r>
            <a:r>
              <a:rPr lang="en-US" sz="1200" b="0" i="0" u="none" strike="noStrike" baseline="0">
                <a:solidFill>
                  <a:srgbClr val="000000"/>
                </a:solidFill>
                <a:latin typeface="Times New Roman"/>
                <a:cs typeface="Times New Roman"/>
              </a:rPr>
              <a:t> = depth of irrigation water</a:t>
            </a:r>
          </a:p>
          <a:p>
            <a:pPr algn="l" rtl="0">
              <a:defRPr sz="1000"/>
            </a:pPr>
            <a:r>
              <a:rPr lang="en-US" sz="1200" b="1" i="0" u="none" strike="noStrike" baseline="0">
                <a:solidFill>
                  <a:srgbClr val="000000"/>
                </a:solidFill>
                <a:latin typeface="Times New Roman"/>
                <a:cs typeface="Times New Roman"/>
              </a:rPr>
              <a:t>EC</a:t>
            </a:r>
            <a:r>
              <a:rPr lang="en-US" sz="1200" b="1" i="0" u="none" strike="noStrike" baseline="-25000">
                <a:solidFill>
                  <a:srgbClr val="000000"/>
                </a:solidFill>
                <a:latin typeface="Times New Roman"/>
                <a:cs typeface="Times New Roman"/>
              </a:rPr>
              <a:t>iw</a:t>
            </a:r>
            <a:r>
              <a:rPr lang="en-US" sz="1200" b="0" i="0" u="none" strike="noStrike" baseline="0">
                <a:solidFill>
                  <a:srgbClr val="000000"/>
                </a:solidFill>
                <a:latin typeface="Times New Roman"/>
                <a:cs typeface="Times New Roman"/>
              </a:rPr>
              <a:t> = electroconductivity (or chloride concentration) of irrigation water</a:t>
            </a:r>
          </a:p>
          <a:p>
            <a:pPr algn="l" rtl="0">
              <a:defRPr sz="1000"/>
            </a:pPr>
            <a:r>
              <a:rPr lang="en-US" sz="1200" b="1" i="0" u="none" strike="noStrike" baseline="0">
                <a:solidFill>
                  <a:srgbClr val="000000"/>
                </a:solidFill>
                <a:latin typeface="Times New Roman"/>
                <a:cs typeface="Times New Roman"/>
              </a:rPr>
              <a:t>EC</a:t>
            </a:r>
            <a:r>
              <a:rPr lang="en-US" sz="1200" b="1" i="0" u="none" strike="noStrike" baseline="-25000">
                <a:solidFill>
                  <a:srgbClr val="000000"/>
                </a:solidFill>
                <a:latin typeface="Times New Roman"/>
                <a:cs typeface="Times New Roman"/>
              </a:rPr>
              <a:t>dw</a:t>
            </a:r>
            <a:r>
              <a:rPr lang="en-US" sz="1200" b="0" i="0" u="none" strike="noStrike" baseline="0">
                <a:solidFill>
                  <a:srgbClr val="000000"/>
                </a:solidFill>
                <a:latin typeface="Times New Roman"/>
                <a:cs typeface="Times New Roman"/>
              </a:rPr>
              <a:t> = electroconductivity (or chloride concentration) of drain water</a:t>
            </a:r>
          </a:p>
        </xdr:txBody>
      </xdr:sp>
      <mc:AlternateContent xmlns:mc="http://schemas.openxmlformats.org/markup-compatibility/2006">
        <mc:Choice xmlns:a14="http://schemas.microsoft.com/office/drawing/2010/main" Requires="a14">
          <xdr:sp macro="" textlink="">
            <xdr:nvSpPr>
              <xdr:cNvPr id="10277" name="Object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573" y="2748"/>
                <a:ext cx="159" cy="74"/>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grpSp>
    <xdr:clientData/>
  </xdr:twoCellAnchor>
  <xdr:twoCellAnchor>
    <xdr:from>
      <xdr:col>7</xdr:col>
      <xdr:colOff>447675</xdr:colOff>
      <xdr:row>0</xdr:row>
      <xdr:rowOff>38100</xdr:rowOff>
    </xdr:from>
    <xdr:to>
      <xdr:col>16</xdr:col>
      <xdr:colOff>19050</xdr:colOff>
      <xdr:row>7</xdr:row>
      <xdr:rowOff>66675</xdr:rowOff>
    </xdr:to>
    <xdr:sp macro="" textlink="">
      <xdr:nvSpPr>
        <xdr:cNvPr id="10280" name="Text Box 40">
          <a:extLst>
            <a:ext uri="{FF2B5EF4-FFF2-40B4-BE49-F238E27FC236}">
              <a16:creationId xmlns:a16="http://schemas.microsoft.com/office/drawing/2014/main" id="{00000000-0008-0000-0700-000028280000}"/>
            </a:ext>
          </a:extLst>
        </xdr:cNvPr>
        <xdr:cNvSpPr txBox="1">
          <a:spLocks noChangeArrowheads="1"/>
        </xdr:cNvSpPr>
      </xdr:nvSpPr>
      <xdr:spPr bwMode="auto">
        <a:xfrm>
          <a:off x="5029200" y="38100"/>
          <a:ext cx="5362575" cy="1228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use of natural chloride concentrations in irrigation water is the best choice as total crop uptake is minimal as is precipitation or soil adsorption of this highly soluble anion.  The trick is in identifying the real bottom of the roozone and obtaining a truly representative number for the salinity / chloride concentration in the water draining below this depth.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below methods are based on the mass balance shown at the left and the use of empiricle </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110</xdr:row>
          <xdr:rowOff>76200</xdr:rowOff>
        </xdr:from>
        <xdr:to>
          <xdr:col>5</xdr:col>
          <xdr:colOff>571500</xdr:colOff>
          <xdr:row>115</xdr:row>
          <xdr:rowOff>390525</xdr:rowOff>
        </xdr:to>
        <xdr:sp macro="" textlink="">
          <xdr:nvSpPr>
            <xdr:cNvPr id="10284" name="Object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114</xdr:row>
          <xdr:rowOff>123825</xdr:rowOff>
        </xdr:from>
        <xdr:to>
          <xdr:col>11</xdr:col>
          <xdr:colOff>590550</xdr:colOff>
          <xdr:row>115</xdr:row>
          <xdr:rowOff>285750</xdr:rowOff>
        </xdr:to>
        <xdr:sp macro="" textlink="">
          <xdr:nvSpPr>
            <xdr:cNvPr id="10285" name="Object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13</xdr:col>
      <xdr:colOff>85725</xdr:colOff>
      <xdr:row>94</xdr:row>
      <xdr:rowOff>66675</xdr:rowOff>
    </xdr:from>
    <xdr:to>
      <xdr:col>20</xdr:col>
      <xdr:colOff>381000</xdr:colOff>
      <xdr:row>95</xdr:row>
      <xdr:rowOff>0</xdr:rowOff>
    </xdr:to>
    <xdr:sp macro="" textlink="">
      <xdr:nvSpPr>
        <xdr:cNvPr id="10286" name="Text Box 46">
          <a:extLst>
            <a:ext uri="{FF2B5EF4-FFF2-40B4-BE49-F238E27FC236}">
              <a16:creationId xmlns:a16="http://schemas.microsoft.com/office/drawing/2014/main" id="{00000000-0008-0000-0700-00002E280000}"/>
            </a:ext>
          </a:extLst>
        </xdr:cNvPr>
        <xdr:cNvSpPr txBox="1">
          <a:spLocks noChangeArrowheads="1"/>
        </xdr:cNvSpPr>
      </xdr:nvSpPr>
      <xdr:spPr bwMode="auto">
        <a:xfrm>
          <a:off x="8467725" y="17430750"/>
          <a:ext cx="4724400"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1148" rIns="45720" bIns="0" anchor="t" upright="1"/>
        <a:lstStyle/>
        <a:p>
          <a:pPr algn="r" rtl="0">
            <a:defRPr sz="1000"/>
          </a:pPr>
          <a:r>
            <a:rPr lang="en-US" sz="2200" b="1" i="0" u="none" strike="noStrike" baseline="0">
              <a:solidFill>
                <a:srgbClr val="000000"/>
              </a:solidFill>
              <a:latin typeface="Arial"/>
              <a:cs typeface="Arial"/>
            </a:rPr>
            <a:t>METHOD 3:  Permissable concentration factor, Rhodes 1990</a:t>
          </a:r>
        </a:p>
      </xdr:txBody>
    </xdr:sp>
    <xdr:clientData/>
  </xdr:twoCellAnchor>
  <xdr:twoCellAnchor>
    <xdr:from>
      <xdr:col>7</xdr:col>
      <xdr:colOff>438150</xdr:colOff>
      <xdr:row>8</xdr:row>
      <xdr:rowOff>19050</xdr:rowOff>
    </xdr:from>
    <xdr:to>
      <xdr:col>16</xdr:col>
      <xdr:colOff>133350</xdr:colOff>
      <xdr:row>13</xdr:row>
      <xdr:rowOff>66675</xdr:rowOff>
    </xdr:to>
    <xdr:sp macro="" textlink="">
      <xdr:nvSpPr>
        <xdr:cNvPr id="10287" name="Text Box 47">
          <a:extLst>
            <a:ext uri="{FF2B5EF4-FFF2-40B4-BE49-F238E27FC236}">
              <a16:creationId xmlns:a16="http://schemas.microsoft.com/office/drawing/2014/main" id="{00000000-0008-0000-0700-00002F280000}"/>
            </a:ext>
          </a:extLst>
        </xdr:cNvPr>
        <xdr:cNvSpPr txBox="1">
          <a:spLocks noChangeArrowheads="1"/>
        </xdr:cNvSpPr>
      </xdr:nvSpPr>
      <xdr:spPr bwMode="auto">
        <a:xfrm>
          <a:off x="5019675" y="1381125"/>
          <a:ext cx="5486400" cy="857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mass balance used to generate field/crop level WUE estimates for Elephant Butte Irrigation District in southern New Mexico.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Samani,Z., T. Sammis, R. Skaggs, N. Alkhatiri, and J. Deras. 2005. Measuring on-farm irrigation efficiency with chloride tracing under deficit irrigation. J. Irrig. &amp; Drain. Eng., Vol. 131:6:555-559.</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0.30857</cdr:x>
      <cdr:y>0.41662</cdr:y>
    </cdr:from>
    <cdr:to>
      <cdr:x>0.35772</cdr:x>
      <cdr:y>0.57729</cdr:y>
    </cdr:to>
    <cdr:sp macro="" textlink="">
      <cdr:nvSpPr>
        <cdr:cNvPr id="11265" name="Line 1"/>
        <cdr:cNvSpPr>
          <a:spLocks xmlns:a="http://schemas.openxmlformats.org/drawingml/2006/main" noChangeShapeType="1"/>
        </cdr:cNvSpPr>
      </cdr:nvSpPr>
      <cdr:spPr bwMode="auto">
        <a:xfrm xmlns:a="http://schemas.openxmlformats.org/drawingml/2006/main" flipH="1">
          <a:off x="1337770" y="1608023"/>
          <a:ext cx="209924" cy="61671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0.35478</cdr:x>
      <cdr:y>0.59021</cdr:y>
    </cdr:from>
    <cdr:to>
      <cdr:x>0.58117</cdr:x>
      <cdr:y>0.73064</cdr:y>
    </cdr:to>
    <cdr:sp macro="" textlink="">
      <cdr:nvSpPr>
        <cdr:cNvPr id="11266" name="Line 2"/>
        <cdr:cNvSpPr>
          <a:spLocks xmlns:a="http://schemas.openxmlformats.org/drawingml/2006/main" noChangeShapeType="1"/>
        </cdr:cNvSpPr>
      </cdr:nvSpPr>
      <cdr:spPr bwMode="auto">
        <a:xfrm xmlns:a="http://schemas.openxmlformats.org/drawingml/2006/main" flipH="1">
          <a:off x="1536090" y="2277143"/>
          <a:ext cx="970503" cy="53903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6.xml><?xml version="1.0" encoding="utf-8"?>
<c:userShapes xmlns:c="http://schemas.openxmlformats.org/drawingml/2006/chart">
  <cdr:relSizeAnchor xmlns:cdr="http://schemas.openxmlformats.org/drawingml/2006/chartDrawing">
    <cdr:from>
      <cdr:x>0.40621</cdr:x>
      <cdr:y>0.09628</cdr:y>
    </cdr:from>
    <cdr:to>
      <cdr:x>0.88264</cdr:x>
      <cdr:y>0.26884</cdr:y>
    </cdr:to>
    <cdr:sp macro="" textlink="">
      <cdr:nvSpPr>
        <cdr:cNvPr id="16385" name="Text Box 1"/>
        <cdr:cNvSpPr txBox="1">
          <a:spLocks xmlns:a="http://schemas.openxmlformats.org/drawingml/2006/main" noChangeArrowheads="1"/>
        </cdr:cNvSpPr>
      </cdr:nvSpPr>
      <cdr:spPr bwMode="auto">
        <a:xfrm xmlns:a="http://schemas.openxmlformats.org/drawingml/2006/main">
          <a:off x="1553166" y="270933"/>
          <a:ext cx="1821647" cy="48556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400" b="0" i="0" u="none" strike="noStrike" baseline="0">
              <a:solidFill>
                <a:srgbClr val="000000"/>
              </a:solidFill>
              <a:latin typeface="Arial"/>
              <a:cs typeface="Arial"/>
            </a:rPr>
            <a:t>Dwater / Dsoil = </a:t>
          </a:r>
        </a:p>
        <a:p xmlns:a="http://schemas.openxmlformats.org/drawingml/2006/main">
          <a:pPr algn="l" rtl="0">
            <a:defRPr sz="1000"/>
          </a:pPr>
          <a:r>
            <a:rPr lang="en-US" sz="1400" b="0" i="0" u="none" strike="noStrike" baseline="0">
              <a:solidFill>
                <a:srgbClr val="000000"/>
              </a:solidFill>
              <a:latin typeface="Arial"/>
              <a:cs typeface="Arial"/>
            </a:rPr>
            <a:t>k / (</a:t>
          </a:r>
          <a:r>
            <a:rPr kumimoji="0" lang="en-US" sz="1400" b="0" i="0" u="none" strike="noStrike" kern="0" cap="none" spc="0" normalizeH="0" baseline="0" noProof="0">
              <a:ln>
                <a:noFill/>
              </a:ln>
              <a:solidFill>
                <a:srgbClr val="000000"/>
              </a:solidFill>
              <a:effectLst/>
              <a:uLnTx/>
              <a:uFillTx/>
              <a:latin typeface="Arial"/>
              <a:ea typeface="+mn-ea"/>
              <a:cs typeface="Arial"/>
            </a:rPr>
            <a:t>ECfinal / ECinitial)</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0</xdr:col>
      <xdr:colOff>160020</xdr:colOff>
      <xdr:row>0</xdr:row>
      <xdr:rowOff>38100</xdr:rowOff>
    </xdr:from>
    <xdr:to>
      <xdr:col>10</xdr:col>
      <xdr:colOff>426720</xdr:colOff>
      <xdr:row>48</xdr:row>
      <xdr:rowOff>121920</xdr:rowOff>
    </xdr:to>
    <xdr:pic>
      <xdr:nvPicPr>
        <xdr:cNvPr id="6437" name="Picture 1">
          <a:extLst>
            <a:ext uri="{FF2B5EF4-FFF2-40B4-BE49-F238E27FC236}">
              <a16:creationId xmlns:a16="http://schemas.microsoft.com/office/drawing/2014/main" id="{00000000-0008-0000-0800-000025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38100"/>
          <a:ext cx="6362700" cy="81305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137160</xdr:rowOff>
    </xdr:from>
    <xdr:to>
      <xdr:col>10</xdr:col>
      <xdr:colOff>266700</xdr:colOff>
      <xdr:row>101</xdr:row>
      <xdr:rowOff>137160</xdr:rowOff>
    </xdr:to>
    <xdr:pic>
      <xdr:nvPicPr>
        <xdr:cNvPr id="6438" name="Picture 2">
          <a:extLst>
            <a:ext uri="{FF2B5EF4-FFF2-40B4-BE49-F238E27FC236}">
              <a16:creationId xmlns:a16="http://schemas.microsoft.com/office/drawing/2014/main" id="{00000000-0008-0000-0800-0000261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016240"/>
          <a:ext cx="6362700" cy="90525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102</xdr:row>
      <xdr:rowOff>0</xdr:rowOff>
    </xdr:from>
    <xdr:to>
      <xdr:col>10</xdr:col>
      <xdr:colOff>518160</xdr:colOff>
      <xdr:row>155</xdr:row>
      <xdr:rowOff>129540</xdr:rowOff>
    </xdr:to>
    <xdr:pic>
      <xdr:nvPicPr>
        <xdr:cNvPr id="6439" name="Picture 3">
          <a:extLst>
            <a:ext uri="{FF2B5EF4-FFF2-40B4-BE49-F238E27FC236}">
              <a16:creationId xmlns:a16="http://schemas.microsoft.com/office/drawing/2014/main" id="{00000000-0008-0000-0800-0000271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7099280"/>
          <a:ext cx="6614160" cy="90144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419100</xdr:colOff>
          <xdr:row>24</xdr:row>
          <xdr:rowOff>121920</xdr:rowOff>
        </xdr:from>
        <xdr:to>
          <xdr:col>23</xdr:col>
          <xdr:colOff>426720</xdr:colOff>
          <xdr:row>59</xdr:row>
          <xdr:rowOff>129540</xdr:rowOff>
        </xdr:to>
        <xdr:pic>
          <xdr:nvPicPr>
            <xdr:cNvPr id="6440" name="Picture 4">
              <a:extLst>
                <a:ext uri="{FF2B5EF4-FFF2-40B4-BE49-F238E27FC236}">
                  <a16:creationId xmlns:a16="http://schemas.microsoft.com/office/drawing/2014/main" id="{00000000-0008-0000-0800-000028190000}"/>
                </a:ext>
              </a:extLst>
            </xdr:cNvPr>
            <xdr:cNvPicPr>
              <a:picLocks noChangeAspect="1" noChangeArrowheads="1"/>
              <a:extLst>
                <a:ext uri="{84589F7E-364E-4C9E-8A38-B11213B215E9}">
                  <a14:cameraTool cellRange="$A$24:$K$58" spid="_x0000_s6549"/>
                </a:ext>
              </a:extLst>
            </xdr:cNvPicPr>
          </xdr:nvPicPr>
          <xdr:blipFill>
            <a:blip xmlns:r="http://schemas.openxmlformats.org/officeDocument/2006/relationships" r:embed="rId4"/>
            <a:srcRect/>
            <a:stretch>
              <a:fillRect/>
            </a:stretch>
          </xdr:blipFill>
          <xdr:spPr bwMode="auto">
            <a:xfrm>
              <a:off x="7734300" y="4145280"/>
              <a:ext cx="6713220" cy="58750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198120</xdr:colOff>
      <xdr:row>50</xdr:row>
      <xdr:rowOff>45720</xdr:rowOff>
    </xdr:from>
    <xdr:to>
      <xdr:col>9</xdr:col>
      <xdr:colOff>205740</xdr:colOff>
      <xdr:row>52</xdr:row>
      <xdr:rowOff>30480</xdr:rowOff>
    </xdr:to>
    <xdr:sp macro="" textlink="">
      <xdr:nvSpPr>
        <xdr:cNvPr id="1683" name="Line 10">
          <a:extLst>
            <a:ext uri="{FF2B5EF4-FFF2-40B4-BE49-F238E27FC236}">
              <a16:creationId xmlns:a16="http://schemas.microsoft.com/office/drawing/2014/main" id="{00000000-0008-0000-0100-000093060000}"/>
            </a:ext>
          </a:extLst>
        </xdr:cNvPr>
        <xdr:cNvSpPr>
          <a:spLocks noChangeShapeType="1"/>
        </xdr:cNvSpPr>
      </xdr:nvSpPr>
      <xdr:spPr bwMode="auto">
        <a:xfrm flipH="1">
          <a:off x="4747260" y="7589520"/>
          <a:ext cx="464820" cy="274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24</xdr:row>
          <xdr:rowOff>85725</xdr:rowOff>
        </xdr:from>
        <xdr:to>
          <xdr:col>4</xdr:col>
          <xdr:colOff>352425</xdr:colOff>
          <xdr:row>28</xdr:row>
          <xdr:rowOff>95250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398145</xdr:colOff>
      <xdr:row>24</xdr:row>
      <xdr:rowOff>57150</xdr:rowOff>
    </xdr:from>
    <xdr:to>
      <xdr:col>12</xdr:col>
      <xdr:colOff>417195</xdr:colOff>
      <xdr:row>29</xdr:row>
      <xdr:rowOff>142875</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3038475" y="3771900"/>
          <a:ext cx="3600450" cy="847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a:cs typeface="Times New Roman"/>
            </a:rPr>
            <a:t>The </a:t>
          </a:r>
          <a:r>
            <a:rPr lang="en-US" sz="1000" b="1" i="0" u="none" strike="noStrike" baseline="0">
              <a:solidFill>
                <a:srgbClr val="000000"/>
              </a:solidFill>
              <a:latin typeface="Times New Roman"/>
              <a:cs typeface="Times New Roman"/>
            </a:rPr>
            <a:t>Sodium Adsorption Ratio</a:t>
          </a:r>
          <a:r>
            <a:rPr lang="en-US" sz="1000" b="0" i="0" u="none" strike="noStrike" baseline="0">
              <a:solidFill>
                <a:srgbClr val="000000"/>
              </a:solidFill>
              <a:latin typeface="Times New Roman"/>
              <a:cs typeface="Times New Roman"/>
            </a:rPr>
            <a:t> is a measure of the potential of a water to cause soil structural/infiltration problems due to sodium dispersion of soil aggregates.  However, more Na can be tolerated as the EC of the water increases.  The goal is to keep SAR &lt; 5 * EC.  (See attached chart by Ayers and Westcott.)</a:t>
          </a:r>
        </a:p>
      </xdr:txBody>
    </xdr:sp>
    <xdr:clientData/>
  </xdr:twoCellAnchor>
  <xdr:twoCellAnchor>
    <xdr:from>
      <xdr:col>2</xdr:col>
      <xdr:colOff>47625</xdr:colOff>
      <xdr:row>33</xdr:row>
      <xdr:rowOff>9525</xdr:rowOff>
    </xdr:from>
    <xdr:to>
      <xdr:col>12</xdr:col>
      <xdr:colOff>245745</xdr:colOff>
      <xdr:row>34</xdr:row>
      <xdr:rowOff>180975</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1800225" y="5095875"/>
          <a:ext cx="4667250"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a:cs typeface="Times New Roman"/>
            </a:rPr>
            <a:t>Nitrate:</a:t>
          </a:r>
          <a:r>
            <a:rPr lang="en-US" sz="1000" b="0" i="0" u="none" strike="noStrike" baseline="0">
              <a:solidFill>
                <a:srgbClr val="000000"/>
              </a:solidFill>
              <a:latin typeface="Times New Roman"/>
              <a:cs typeface="Times New Roman"/>
            </a:rPr>
            <a:t>  45 mg/l or ppm is max drinking water standard.  NO3 * 0.612 = N fertilizer equiv. lb/ac-ft of water. 13 ppm NO3 = 8.0 lb/ac-ft N</a:t>
          </a:r>
        </a:p>
      </xdr:txBody>
    </xdr:sp>
    <xdr:clientData/>
  </xdr:twoCellAnchor>
  <xdr:twoCellAnchor>
    <xdr:from>
      <xdr:col>2</xdr:col>
      <xdr:colOff>47625</xdr:colOff>
      <xdr:row>35</xdr:row>
      <xdr:rowOff>9525</xdr:rowOff>
    </xdr:from>
    <xdr:to>
      <xdr:col>12</xdr:col>
      <xdr:colOff>245745</xdr:colOff>
      <xdr:row>37</xdr:row>
      <xdr:rowOff>28575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800225" y="5448300"/>
          <a:ext cx="4667250"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a:cs typeface="Times New Roman"/>
            </a:rPr>
            <a:t>Boron:  </a:t>
          </a:r>
          <a:r>
            <a:rPr lang="en-US" sz="1000" b="0" i="0" u="none" strike="noStrike" baseline="0">
              <a:solidFill>
                <a:srgbClr val="000000"/>
              </a:solidFill>
              <a:latin typeface="Times New Roman"/>
              <a:cs typeface="Times New Roman"/>
            </a:rPr>
            <a:t>below 0.75 best for all crops.  Up to 5 okay for most field crops and pistachios.  Some leaf burn will be evident at these levels.</a:t>
          </a:r>
        </a:p>
      </xdr:txBody>
    </xdr:sp>
    <xdr:clientData/>
  </xdr:twoCellAnchor>
  <xdr:twoCellAnchor>
    <xdr:from>
      <xdr:col>0</xdr:col>
      <xdr:colOff>19050</xdr:colOff>
      <xdr:row>15</xdr:row>
      <xdr:rowOff>38100</xdr:rowOff>
    </xdr:from>
    <xdr:to>
      <xdr:col>12</xdr:col>
      <xdr:colOff>436251</xdr:colOff>
      <xdr:row>18</xdr:row>
      <xdr:rowOff>87689</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19050" y="2362200"/>
          <a:ext cx="663892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a:cs typeface="Times New Roman"/>
            </a:rPr>
            <a:t>NOTE:  </a:t>
          </a:r>
          <a:r>
            <a:rPr lang="en-US" sz="1000" b="0" i="0" u="none" strike="noStrike" baseline="0">
              <a:solidFill>
                <a:srgbClr val="000000"/>
              </a:solidFill>
              <a:latin typeface="Times New Roman"/>
              <a:cs typeface="Times New Roman"/>
            </a:rPr>
            <a:t>It is necessary to convert such units as TDS (total dissolved solids in mg/l) and mg/l (milligram/liter of water, which is the same as ppm, parts per million) into </a:t>
          </a:r>
          <a:r>
            <a:rPr lang="en-US" sz="1000" b="1" i="0" u="none" strike="noStrike" baseline="0">
              <a:solidFill>
                <a:srgbClr val="000000"/>
              </a:solidFill>
              <a:latin typeface="Times New Roman"/>
              <a:cs typeface="Times New Roman"/>
            </a:rPr>
            <a:t>meq/l</a:t>
          </a:r>
          <a:r>
            <a:rPr lang="en-US" sz="1000" b="0" i="0" u="none" strike="noStrike" baseline="0">
              <a:solidFill>
                <a:srgbClr val="000000"/>
              </a:solidFill>
              <a:latin typeface="Times New Roman"/>
              <a:cs typeface="Times New Roman"/>
            </a:rPr>
            <a:t> (milliequivalents/liter) so that concentrations of the different salts can be compared for their "equivalent" chemical activity on soil structure and plant uptake.</a:t>
          </a:r>
        </a:p>
      </xdr:txBody>
    </xdr:sp>
    <xdr:clientData/>
  </xdr:twoCellAnchor>
  <xdr:twoCellAnchor editAs="oneCell">
    <xdr:from>
      <xdr:col>1</xdr:col>
      <xdr:colOff>419100</xdr:colOff>
      <xdr:row>39</xdr:row>
      <xdr:rowOff>7620</xdr:rowOff>
    </xdr:from>
    <xdr:to>
      <xdr:col>9</xdr:col>
      <xdr:colOff>388620</xdr:colOff>
      <xdr:row>57</xdr:row>
      <xdr:rowOff>114300</xdr:rowOff>
    </xdr:to>
    <xdr:pic>
      <xdr:nvPicPr>
        <xdr:cNvPr id="1688" name="Picture 6">
          <a:extLst>
            <a:ext uri="{FF2B5EF4-FFF2-40B4-BE49-F238E27FC236}">
              <a16:creationId xmlns:a16="http://schemas.microsoft.com/office/drawing/2014/main" id="{00000000-0008-0000-0100-000098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5958840"/>
          <a:ext cx="4061460" cy="2712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58</xdr:row>
      <xdr:rowOff>59055</xdr:rowOff>
    </xdr:from>
    <xdr:to>
      <xdr:col>11</xdr:col>
      <xdr:colOff>283851</xdr:colOff>
      <xdr:row>63</xdr:row>
      <xdr:rowOff>9569</xdr:rowOff>
    </xdr:to>
    <xdr:sp macro="" textlink="">
      <xdr:nvSpPr>
        <xdr:cNvPr id="1031" name="Text Box 7">
          <a:extLst>
            <a:ext uri="{FF2B5EF4-FFF2-40B4-BE49-F238E27FC236}">
              <a16:creationId xmlns:a16="http://schemas.microsoft.com/office/drawing/2014/main" id="{00000000-0008-0000-0100-000007040000}"/>
            </a:ext>
          </a:extLst>
        </xdr:cNvPr>
        <xdr:cNvSpPr txBox="1">
          <a:spLocks noChangeArrowheads="1"/>
        </xdr:cNvSpPr>
      </xdr:nvSpPr>
      <xdr:spPr bwMode="auto">
        <a:xfrm>
          <a:off x="1066800" y="9010650"/>
          <a:ext cx="49911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Interaction of  total salinity as EC with the sodium adsorption ratio of applied water for causing potential infiltration problems.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(Ayers, R.S. and D.W. Westcott.  1985.  Water quality for agriculture. United Nations FAO Irrig &amp; Drainage Paper No. 29.)</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19050</xdr:colOff>
      <xdr:row>52</xdr:row>
      <xdr:rowOff>9525</xdr:rowOff>
    </xdr:from>
    <xdr:to>
      <xdr:col>8</xdr:col>
      <xdr:colOff>171450</xdr:colOff>
      <xdr:row>53</xdr:row>
      <xdr:rowOff>9525</xdr:rowOff>
    </xdr:to>
    <xdr:sp macro="" textlink="">
      <xdr:nvSpPr>
        <xdr:cNvPr id="1032" name="AutoShape 8">
          <a:extLst>
            <a:ext uri="{FF2B5EF4-FFF2-40B4-BE49-F238E27FC236}">
              <a16:creationId xmlns:a16="http://schemas.microsoft.com/office/drawing/2014/main" id="{00000000-0008-0000-0100-000008040000}"/>
            </a:ext>
          </a:extLst>
        </xdr:cNvPr>
        <xdr:cNvSpPr>
          <a:spLocks noChangeArrowheads="1"/>
        </xdr:cNvSpPr>
      </xdr:nvSpPr>
      <xdr:spPr bwMode="auto">
        <a:xfrm>
          <a:off x="4457700" y="8039100"/>
          <a:ext cx="152400" cy="152400"/>
        </a:xfrm>
        <a:prstGeom prst="star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US"/>
        </a:p>
      </xdr:txBody>
    </xdr:sp>
    <xdr:clientData/>
  </xdr:twoCellAnchor>
  <xdr:twoCellAnchor>
    <xdr:from>
      <xdr:col>8</xdr:col>
      <xdr:colOff>209550</xdr:colOff>
      <xdr:row>48</xdr:row>
      <xdr:rowOff>0</xdr:rowOff>
    </xdr:from>
    <xdr:to>
      <xdr:col>11</xdr:col>
      <xdr:colOff>341005</xdr:colOff>
      <xdr:row>50</xdr:row>
      <xdr:rowOff>49613</xdr:rowOff>
    </xdr:to>
    <xdr:sp macro="" textlink="">
      <xdr:nvSpPr>
        <xdr:cNvPr id="1033" name="Text Box 9">
          <a:extLst>
            <a:ext uri="{FF2B5EF4-FFF2-40B4-BE49-F238E27FC236}">
              <a16:creationId xmlns:a16="http://schemas.microsoft.com/office/drawing/2014/main" id="{00000000-0008-0000-0100-000009040000}"/>
            </a:ext>
          </a:extLst>
        </xdr:cNvPr>
        <xdr:cNvSpPr txBox="1">
          <a:spLocks noChangeArrowheads="1"/>
        </xdr:cNvSpPr>
      </xdr:nvSpPr>
      <xdr:spPr bwMode="auto">
        <a:xfrm>
          <a:off x="4648200" y="7419975"/>
          <a:ext cx="146685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Example Water</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No infiltration problem.</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563880</xdr:colOff>
          <xdr:row>32</xdr:row>
          <xdr:rowOff>121920</xdr:rowOff>
        </xdr:from>
        <xdr:to>
          <xdr:col>12</xdr:col>
          <xdr:colOff>579120</xdr:colOff>
          <xdr:row>53</xdr:row>
          <xdr:rowOff>144780</xdr:rowOff>
        </xdr:to>
        <xdr:pic>
          <xdr:nvPicPr>
            <xdr:cNvPr id="21985" name="Picture 2">
              <a:extLst>
                <a:ext uri="{FF2B5EF4-FFF2-40B4-BE49-F238E27FC236}">
                  <a16:creationId xmlns:a16="http://schemas.microsoft.com/office/drawing/2014/main" id="{00000000-0008-0000-0200-0000E1550000}"/>
                </a:ext>
              </a:extLst>
            </xdr:cNvPr>
            <xdr:cNvPicPr>
              <a:picLocks noChangeAspect="1" noChangeArrowheads="1"/>
              <a:extLst>
                <a:ext uri="{84589F7E-364E-4C9E-8A38-B11213B215E9}">
                  <a14:cameraTool cellRange="$P$2:$Y$17" spid="_x0000_s22097"/>
                </a:ext>
              </a:extLst>
            </xdr:cNvPicPr>
          </xdr:nvPicPr>
          <xdr:blipFill>
            <a:blip xmlns:r="http://schemas.openxmlformats.org/officeDocument/2006/relationships" r:embed="rId1"/>
            <a:srcRect/>
            <a:stretch>
              <a:fillRect/>
            </a:stretch>
          </xdr:blipFill>
          <xdr:spPr bwMode="auto">
            <a:xfrm>
              <a:off x="563880" y="6286500"/>
              <a:ext cx="7513320" cy="37033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editAs="oneCell">
    <xdr:from>
      <xdr:col>0</xdr:col>
      <xdr:colOff>106680</xdr:colOff>
      <xdr:row>0</xdr:row>
      <xdr:rowOff>60960</xdr:rowOff>
    </xdr:from>
    <xdr:to>
      <xdr:col>13</xdr:col>
      <xdr:colOff>754380</xdr:colOff>
      <xdr:row>2</xdr:row>
      <xdr:rowOff>137160</xdr:rowOff>
    </xdr:to>
    <xdr:pic>
      <xdr:nvPicPr>
        <xdr:cNvPr id="21986" name="Picture 1">
          <a:extLst>
            <a:ext uri="{FF2B5EF4-FFF2-40B4-BE49-F238E27FC236}">
              <a16:creationId xmlns:a16="http://schemas.microsoft.com/office/drawing/2014/main" id="{00000000-0008-0000-0200-0000E25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90666"/>
        <a:stretch>
          <a:fillRect/>
        </a:stretch>
      </xdr:blipFill>
      <xdr:spPr bwMode="auto">
        <a:xfrm>
          <a:off x="106680" y="60960"/>
          <a:ext cx="8945880" cy="6553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99060</xdr:colOff>
      <xdr:row>2</xdr:row>
      <xdr:rowOff>182880</xdr:rowOff>
    </xdr:from>
    <xdr:to>
      <xdr:col>14</xdr:col>
      <xdr:colOff>495300</xdr:colOff>
      <xdr:row>26</xdr:row>
      <xdr:rowOff>76200</xdr:rowOff>
    </xdr:to>
    <xdr:pic>
      <xdr:nvPicPr>
        <xdr:cNvPr id="21987" name="Picture 3">
          <a:extLst>
            <a:ext uri="{FF2B5EF4-FFF2-40B4-BE49-F238E27FC236}">
              <a16:creationId xmlns:a16="http://schemas.microsoft.com/office/drawing/2014/main" id="{00000000-0008-0000-0200-0000E355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 y="762000"/>
          <a:ext cx="949452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479584</xdr:colOff>
      <xdr:row>26</xdr:row>
      <xdr:rowOff>87630</xdr:rowOff>
    </xdr:from>
    <xdr:to>
      <xdr:col>12</xdr:col>
      <xdr:colOff>658178</xdr:colOff>
      <xdr:row>32</xdr:row>
      <xdr:rowOff>87630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464344" y="5262563"/>
          <a:ext cx="7465219"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COMPARATIVE APPLICATION</a:t>
          </a:r>
          <a:r>
            <a:rPr lang="en-US" sz="1800" b="1" baseline="0"/>
            <a:t> (t/ac) &amp; COST FOR SOIL AMENDMENTS</a:t>
          </a:r>
        </a:p>
        <a:p>
          <a:pPr marL="0" marR="0" indent="0" defTabSz="914400" rtl="0" eaLnBrk="1" fontAlgn="auto" latinLnBrk="0" hangingPunct="1">
            <a:lnSpc>
              <a:spcPct val="100000"/>
            </a:lnSpc>
            <a:spcBef>
              <a:spcPts val="0"/>
            </a:spcBef>
            <a:spcAft>
              <a:spcPts val="0"/>
            </a:spcAft>
            <a:buClrTx/>
            <a:buSzTx/>
            <a:buFontTx/>
            <a:buNone/>
            <a:tabLst/>
            <a:defRPr/>
          </a:pPr>
          <a:r>
            <a:rPr lang="en-US" sz="1400" b="0" i="0" baseline="0">
              <a:solidFill>
                <a:schemeClr val="dk1"/>
              </a:solidFill>
              <a:effectLst/>
              <a:latin typeface="+mn-lt"/>
              <a:ea typeface="+mn-ea"/>
              <a:cs typeface="+mn-cs"/>
            </a:rPr>
            <a:t>Approximate bulk purity and moisture content, field tons required and applied cost/acre for various calcium supplying amendments to provide the equivalent  of 1 to 4 t/ac of 100% pure gypsum.  (Costs determined for  Kern County Fall 2008)</a:t>
          </a:r>
          <a:endParaRPr lang="en-US" sz="1400">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36195</xdr:colOff>
      <xdr:row>31</xdr:row>
      <xdr:rowOff>72390</xdr:rowOff>
    </xdr:from>
    <xdr:to>
      <xdr:col>14</xdr:col>
      <xdr:colOff>308614</xdr:colOff>
      <xdr:row>33</xdr:row>
      <xdr:rowOff>112395</xdr:rowOff>
    </xdr:to>
    <xdr:sp macro="" textlink="">
      <xdr:nvSpPr>
        <xdr:cNvPr id="4097" name="Text Box 1">
          <a:extLst>
            <a:ext uri="{FF2B5EF4-FFF2-40B4-BE49-F238E27FC236}">
              <a16:creationId xmlns:a16="http://schemas.microsoft.com/office/drawing/2014/main" id="{00000000-0008-0000-0300-000001100000}"/>
            </a:ext>
          </a:extLst>
        </xdr:cNvPr>
        <xdr:cNvSpPr txBox="1">
          <a:spLocks noChangeArrowheads="1"/>
        </xdr:cNvSpPr>
      </xdr:nvSpPr>
      <xdr:spPr bwMode="auto">
        <a:xfrm>
          <a:off x="4135755" y="6122670"/>
          <a:ext cx="3579499" cy="550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Hoffman, G.J. 1996.  “Leaching fraction and root zone salinity control.” Agricultural Salinity Assessment and Management.  ASCE.  New York, N.Y.  Manual No. 71:410-415</a:t>
          </a:r>
        </a:p>
      </xdr:txBody>
    </xdr:sp>
    <xdr:clientData/>
  </xdr:twoCellAnchor>
  <xdr:twoCellAnchor>
    <xdr:from>
      <xdr:col>0</xdr:col>
      <xdr:colOff>38100</xdr:colOff>
      <xdr:row>24</xdr:row>
      <xdr:rowOff>49530</xdr:rowOff>
    </xdr:from>
    <xdr:to>
      <xdr:col>14</xdr:col>
      <xdr:colOff>577211</xdr:colOff>
      <xdr:row>27</xdr:row>
      <xdr:rowOff>160020</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38100" y="4766310"/>
          <a:ext cx="7945751" cy="7124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Note:</a:t>
          </a:r>
          <a:r>
            <a:rPr lang="en-US" sz="1000" b="0" i="0" u="none" strike="noStrike" baseline="0">
              <a:solidFill>
                <a:srgbClr val="000000"/>
              </a:solidFill>
              <a:latin typeface="Arial"/>
              <a:cs typeface="Arial"/>
            </a:rPr>
            <a:t>  Fill in your lab data in the above box.  Ca, Mg and Na must be in "meq/l".  If your lab has stated them in "ppm" you can find the conversion factors on the </a:t>
          </a:r>
          <a:r>
            <a:rPr lang="en-US" sz="1000" b="1" i="0" u="none" strike="noStrike" baseline="0">
              <a:solidFill>
                <a:srgbClr val="000000"/>
              </a:solidFill>
              <a:latin typeface="Arial"/>
              <a:cs typeface="Arial"/>
            </a:rPr>
            <a:t>Conversions-SAR</a:t>
          </a:r>
          <a:r>
            <a:rPr lang="en-US" sz="1000" b="0" i="0" u="none" strike="noStrike" baseline="0">
              <a:solidFill>
                <a:srgbClr val="000000"/>
              </a:solidFill>
              <a:latin typeface="Arial"/>
              <a:cs typeface="Arial"/>
            </a:rPr>
            <a:t> tab below.  Be sure and enter the </a:t>
          </a:r>
          <a:r>
            <a:rPr lang="en-US" sz="1000" b="1" i="0" u="none" strike="noStrike" baseline="0">
              <a:solidFill>
                <a:srgbClr val="000000"/>
              </a:solidFill>
              <a:latin typeface="Arial"/>
              <a:cs typeface="Arial"/>
            </a:rPr>
            <a:t>Sample Thickness</a:t>
          </a:r>
          <a:r>
            <a:rPr lang="en-US" sz="1000" b="0" i="0" u="none" strike="noStrike" baseline="0">
              <a:solidFill>
                <a:srgbClr val="000000"/>
              </a:solidFill>
              <a:latin typeface="Arial"/>
              <a:cs typeface="Arial"/>
            </a:rPr>
            <a:t> of each sample depth and the </a:t>
          </a:r>
          <a:r>
            <a:rPr lang="en-US" sz="1000" b="1" i="0" u="none" strike="noStrike" baseline="0">
              <a:solidFill>
                <a:srgbClr val="000000"/>
              </a:solidFill>
              <a:latin typeface="Arial"/>
              <a:cs typeface="Arial"/>
            </a:rPr>
            <a:t>Desired Salinity </a:t>
          </a:r>
          <a:r>
            <a:rPr lang="en-US" sz="1000" b="0" i="0" u="none" strike="noStrike" baseline="0">
              <a:solidFill>
                <a:srgbClr val="000000"/>
              </a:solidFill>
              <a:latin typeface="Arial"/>
              <a:cs typeface="Arial"/>
            </a:rPr>
            <a:t>for the rootzone of that crop.  Approximate acceptable rootzone EC thresholds are listed in the table below.  For practical management and reduced leaf burn in pistachios an average rootzone EC &lt; 6 dS/m is prefered.  For pomegranates a best guess is EC &lt; 4 dS/m for maximum production.</a:t>
          </a:r>
        </a:p>
      </xdr:txBody>
    </xdr:sp>
    <xdr:clientData/>
  </xdr:twoCellAnchor>
  <xdr:twoCellAnchor editAs="oneCell">
    <xdr:from>
      <xdr:col>7</xdr:col>
      <xdr:colOff>38100</xdr:colOff>
      <xdr:row>33</xdr:row>
      <xdr:rowOff>137160</xdr:rowOff>
    </xdr:from>
    <xdr:to>
      <xdr:col>14</xdr:col>
      <xdr:colOff>685800</xdr:colOff>
      <xdr:row>48</xdr:row>
      <xdr:rowOff>129540</xdr:rowOff>
    </xdr:to>
    <xdr:pic>
      <xdr:nvPicPr>
        <xdr:cNvPr id="4624" name="Picture 4">
          <a:extLst>
            <a:ext uri="{FF2B5EF4-FFF2-40B4-BE49-F238E27FC236}">
              <a16:creationId xmlns:a16="http://schemas.microsoft.com/office/drawing/2014/main" id="{00000000-0008-0000-0300-0000101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6758940"/>
          <a:ext cx="4358640" cy="3078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388620</xdr:colOff>
      <xdr:row>3</xdr:row>
      <xdr:rowOff>15240</xdr:rowOff>
    </xdr:from>
    <xdr:to>
      <xdr:col>22</xdr:col>
      <xdr:colOff>342900</xdr:colOff>
      <xdr:row>21</xdr:row>
      <xdr:rowOff>68580</xdr:rowOff>
    </xdr:to>
    <xdr:graphicFrame macro="">
      <xdr:nvGraphicFramePr>
        <xdr:cNvPr id="4625" name="Chart 6">
          <a:extLst>
            <a:ext uri="{FF2B5EF4-FFF2-40B4-BE49-F238E27FC236}">
              <a16:creationId xmlns:a16="http://schemas.microsoft.com/office/drawing/2014/main" id="{00000000-0008-0000-0300-000011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607695</xdr:colOff>
      <xdr:row>27</xdr:row>
      <xdr:rowOff>169545</xdr:rowOff>
    </xdr:from>
    <xdr:to>
      <xdr:col>21</xdr:col>
      <xdr:colOff>207645</xdr:colOff>
      <xdr:row>32</xdr:row>
      <xdr:rowOff>207645</xdr:rowOff>
    </xdr:to>
    <xdr:sp macro="" textlink="">
      <xdr:nvSpPr>
        <xdr:cNvPr id="4104" name="Text Box 8">
          <a:extLst>
            <a:ext uri="{FF2B5EF4-FFF2-40B4-BE49-F238E27FC236}">
              <a16:creationId xmlns:a16="http://schemas.microsoft.com/office/drawing/2014/main" id="{00000000-0008-0000-0300-000008100000}"/>
            </a:ext>
          </a:extLst>
        </xdr:cNvPr>
        <xdr:cNvSpPr txBox="1">
          <a:spLocks noChangeArrowheads="1"/>
        </xdr:cNvSpPr>
      </xdr:nvSpPr>
      <xdr:spPr bwMode="auto">
        <a:xfrm>
          <a:off x="8014335" y="5488305"/>
          <a:ext cx="3981450" cy="10591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Original Ref:</a:t>
          </a:r>
        </a:p>
        <a:p>
          <a:pPr algn="l" rtl="0">
            <a:defRPr sz="1000"/>
          </a:pPr>
          <a:r>
            <a:rPr lang="en-US" sz="1200" b="1" i="0" u="none" strike="noStrike" baseline="0">
              <a:solidFill>
                <a:srgbClr val="000000"/>
              </a:solidFill>
              <a:latin typeface="Arial"/>
              <a:cs typeface="Arial"/>
            </a:rPr>
            <a:t>Hoffman G.J. 1980 Guidelines for reclamation of salt-affected soils. Proc. Inter-American Salinity and Water Management Technology Conference. Juarez, Mexico. 11–12 December 1980. pp. 49–64.</a:t>
          </a:r>
        </a:p>
      </xdr:txBody>
    </xdr:sp>
    <xdr:clientData/>
  </xdr:twoCellAnchor>
  <xdr:twoCellAnchor>
    <xdr:from>
      <xdr:col>7</xdr:col>
      <xdr:colOff>369570</xdr:colOff>
      <xdr:row>13</xdr:row>
      <xdr:rowOff>89265</xdr:rowOff>
    </xdr:from>
    <xdr:to>
      <xdr:col>11</xdr:col>
      <xdr:colOff>331470</xdr:colOff>
      <xdr:row>14</xdr:row>
      <xdr:rowOff>169749</xdr:rowOff>
    </xdr:to>
    <xdr:sp macro="" textlink="">
      <xdr:nvSpPr>
        <xdr:cNvPr id="2" name="Freeform 1">
          <a:extLst>
            <a:ext uri="{FF2B5EF4-FFF2-40B4-BE49-F238E27FC236}">
              <a16:creationId xmlns:a16="http://schemas.microsoft.com/office/drawing/2014/main" id="{00000000-0008-0000-0300-000002000000}"/>
            </a:ext>
          </a:extLst>
        </xdr:cNvPr>
        <xdr:cNvSpPr/>
      </xdr:nvSpPr>
      <xdr:spPr>
        <a:xfrm>
          <a:off x="3981450" y="2506710"/>
          <a:ext cx="1790700" cy="312690"/>
        </a:xfrm>
        <a:custGeom>
          <a:avLst/>
          <a:gdLst>
            <a:gd name="connsiteX0" fmla="*/ 0 w 1790700"/>
            <a:gd name="connsiteY0" fmla="*/ 26940 h 312690"/>
            <a:gd name="connsiteX1" fmla="*/ 838200 w 1790700"/>
            <a:gd name="connsiteY1" fmla="*/ 7890 h 312690"/>
            <a:gd name="connsiteX2" fmla="*/ 1619250 w 1790700"/>
            <a:gd name="connsiteY2" fmla="*/ 141240 h 312690"/>
            <a:gd name="connsiteX3" fmla="*/ 1790700 w 1790700"/>
            <a:gd name="connsiteY3" fmla="*/ 312690 h 312690"/>
          </a:gdLst>
          <a:ahLst/>
          <a:cxnLst>
            <a:cxn ang="0">
              <a:pos x="connsiteX0" y="connsiteY0"/>
            </a:cxn>
            <a:cxn ang="0">
              <a:pos x="connsiteX1" y="connsiteY1"/>
            </a:cxn>
            <a:cxn ang="0">
              <a:pos x="connsiteX2" y="connsiteY2"/>
            </a:cxn>
            <a:cxn ang="0">
              <a:pos x="connsiteX3" y="connsiteY3"/>
            </a:cxn>
          </a:cxnLst>
          <a:rect l="l" t="t" r="r" b="b"/>
          <a:pathLst>
            <a:path w="1790700" h="312690">
              <a:moveTo>
                <a:pt x="0" y="26940"/>
              </a:moveTo>
              <a:cubicBezTo>
                <a:pt x="284162" y="7890"/>
                <a:pt x="568325" y="-11160"/>
                <a:pt x="838200" y="7890"/>
              </a:cubicBezTo>
              <a:cubicBezTo>
                <a:pt x="1108075" y="26940"/>
                <a:pt x="1460500" y="90440"/>
                <a:pt x="1619250" y="141240"/>
              </a:cubicBezTo>
              <a:cubicBezTo>
                <a:pt x="1778000" y="192040"/>
                <a:pt x="1790700" y="312690"/>
                <a:pt x="1790700" y="312690"/>
              </a:cubicBezTo>
            </a:path>
          </a:pathLst>
        </a:custGeom>
        <a:ln w="25400">
          <a:tailEnd type="stealth"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xdr:col>
      <xdr:colOff>547496</xdr:colOff>
      <xdr:row>13</xdr:row>
      <xdr:rowOff>152400</xdr:rowOff>
    </xdr:from>
    <xdr:to>
      <xdr:col>8</xdr:col>
      <xdr:colOff>171524</xdr:colOff>
      <xdr:row>20</xdr:row>
      <xdr:rowOff>93678</xdr:rowOff>
    </xdr:to>
    <xdr:sp macro="" textlink="">
      <xdr:nvSpPr>
        <xdr:cNvPr id="3" name="Freeform 2">
          <a:extLst>
            <a:ext uri="{FF2B5EF4-FFF2-40B4-BE49-F238E27FC236}">
              <a16:creationId xmlns:a16="http://schemas.microsoft.com/office/drawing/2014/main" id="{00000000-0008-0000-0300-000003000000}"/>
            </a:ext>
          </a:extLst>
        </xdr:cNvPr>
        <xdr:cNvSpPr/>
      </xdr:nvSpPr>
      <xdr:spPr>
        <a:xfrm>
          <a:off x="1141856" y="2562225"/>
          <a:ext cx="3039680" cy="1312878"/>
        </a:xfrm>
        <a:custGeom>
          <a:avLst/>
          <a:gdLst>
            <a:gd name="connsiteX0" fmla="*/ 2801494 w 3039680"/>
            <a:gd name="connsiteY0" fmla="*/ 0 h 1312878"/>
            <a:gd name="connsiteX1" fmla="*/ 3039619 w 3039680"/>
            <a:gd name="connsiteY1" fmla="*/ 200025 h 1312878"/>
            <a:gd name="connsiteX2" fmla="*/ 2782444 w 3039680"/>
            <a:gd name="connsiteY2" fmla="*/ 409575 h 1312878"/>
            <a:gd name="connsiteX3" fmla="*/ 1572769 w 3039680"/>
            <a:gd name="connsiteY3" fmla="*/ 390525 h 1312878"/>
            <a:gd name="connsiteX4" fmla="*/ 201169 w 3039680"/>
            <a:gd name="connsiteY4" fmla="*/ 438150 h 1312878"/>
            <a:gd name="connsiteX5" fmla="*/ 115444 w 3039680"/>
            <a:gd name="connsiteY5" fmla="*/ 1219200 h 1312878"/>
            <a:gd name="connsiteX6" fmla="*/ 1239394 w 3039680"/>
            <a:gd name="connsiteY6" fmla="*/ 1257300 h 1312878"/>
            <a:gd name="connsiteX7" fmla="*/ 2772919 w 3039680"/>
            <a:gd name="connsiteY7" fmla="*/ 1247775 h 1312878"/>
            <a:gd name="connsiteX8" fmla="*/ 2734819 w 3039680"/>
            <a:gd name="connsiteY8" fmla="*/ 428625 h 13128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39680" h="1312878">
              <a:moveTo>
                <a:pt x="2801494" y="0"/>
              </a:moveTo>
              <a:cubicBezTo>
                <a:pt x="2922144" y="65881"/>
                <a:pt x="3042794" y="131763"/>
                <a:pt x="3039619" y="200025"/>
              </a:cubicBezTo>
              <a:cubicBezTo>
                <a:pt x="3036444" y="268287"/>
                <a:pt x="3026919" y="377825"/>
                <a:pt x="2782444" y="409575"/>
              </a:cubicBezTo>
              <a:cubicBezTo>
                <a:pt x="2537969" y="441325"/>
                <a:pt x="2002981" y="385763"/>
                <a:pt x="1572769" y="390525"/>
              </a:cubicBezTo>
              <a:cubicBezTo>
                <a:pt x="1142557" y="395287"/>
                <a:pt x="444056" y="300038"/>
                <a:pt x="201169" y="438150"/>
              </a:cubicBezTo>
              <a:cubicBezTo>
                <a:pt x="-41718" y="576262"/>
                <a:pt x="-57593" y="1082675"/>
                <a:pt x="115444" y="1219200"/>
              </a:cubicBezTo>
              <a:cubicBezTo>
                <a:pt x="288481" y="1355725"/>
                <a:pt x="1239394" y="1257300"/>
                <a:pt x="1239394" y="1257300"/>
              </a:cubicBezTo>
              <a:cubicBezTo>
                <a:pt x="1682306" y="1262062"/>
                <a:pt x="2523682" y="1385887"/>
                <a:pt x="2772919" y="1247775"/>
              </a:cubicBezTo>
              <a:cubicBezTo>
                <a:pt x="3022156" y="1109663"/>
                <a:pt x="2734819" y="428625"/>
                <a:pt x="2734819" y="428625"/>
              </a:cubicBezTo>
            </a:path>
          </a:pathLst>
        </a:cu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0.44404</cdr:x>
      <cdr:y>0.02685</cdr:y>
    </cdr:from>
    <cdr:to>
      <cdr:x>0.93983</cdr:x>
      <cdr:y>0.27948</cdr:y>
    </cdr:to>
    <cdr:sp macro="" textlink="">
      <cdr:nvSpPr>
        <cdr:cNvPr id="2" name="Text Box 7"/>
        <cdr:cNvSpPr txBox="1">
          <a:spLocks xmlns:a="http://schemas.openxmlformats.org/drawingml/2006/main" noChangeArrowheads="1"/>
        </cdr:cNvSpPr>
      </cdr:nvSpPr>
      <cdr:spPr bwMode="auto">
        <a:xfrm xmlns:a="http://schemas.openxmlformats.org/drawingml/2006/main">
          <a:off x="1874520" y="93702"/>
          <a:ext cx="2092959" cy="88165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square" lIns="36576"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400" b="0" i="0" u="none" strike="noStrike" baseline="0">
              <a:solidFill>
                <a:srgbClr val="000000"/>
              </a:solidFill>
              <a:latin typeface="Arial"/>
              <a:cs typeface="Arial"/>
            </a:rPr>
            <a:t>Required leaching: </a:t>
          </a:r>
        </a:p>
        <a:p xmlns:a="http://schemas.openxmlformats.org/drawingml/2006/main">
          <a:pPr algn="l" rtl="0">
            <a:defRPr sz="1000"/>
          </a:pPr>
          <a:r>
            <a:rPr lang="en-US" sz="1400" b="0" i="0" u="none" strike="noStrike" baseline="0">
              <a:solidFill>
                <a:srgbClr val="000000"/>
              </a:solidFill>
              <a:latin typeface="Arial"/>
              <a:cs typeface="Arial"/>
            </a:rPr>
            <a:t>(foot water/foot soil) </a:t>
          </a:r>
        </a:p>
        <a:p xmlns:a="http://schemas.openxmlformats.org/drawingml/2006/main">
          <a:pPr algn="l" rtl="0">
            <a:defRPr sz="1000"/>
          </a:pPr>
          <a:r>
            <a:rPr lang="en-US" sz="1400" b="0" i="0" u="none" strike="noStrike" baseline="0">
              <a:solidFill>
                <a:srgbClr val="000000"/>
              </a:solidFill>
              <a:latin typeface="Arial"/>
              <a:cs typeface="Arial"/>
            </a:rPr>
            <a:t>=                  K         </a:t>
          </a:r>
        </a:p>
        <a:p xmlns:a="http://schemas.openxmlformats.org/drawingml/2006/main">
          <a:pPr algn="l" rtl="0">
            <a:defRPr sz="1000"/>
          </a:pPr>
          <a:r>
            <a:rPr lang="en-US" sz="1400" b="0" i="0" u="none" strike="noStrike" baseline="0">
              <a:solidFill>
                <a:srgbClr val="000000"/>
              </a:solidFill>
              <a:latin typeface="Arial"/>
              <a:cs typeface="Arial"/>
            </a:rPr>
            <a:t>   (desired EC/actual EC)</a:t>
          </a:r>
        </a:p>
      </cdr:txBody>
    </cdr:sp>
  </cdr:relSizeAnchor>
  <cdr:relSizeAnchor xmlns:cdr="http://schemas.openxmlformats.org/drawingml/2006/chartDrawing">
    <cdr:from>
      <cdr:x>0.48736</cdr:x>
      <cdr:y>0.20742</cdr:y>
    </cdr:from>
    <cdr:to>
      <cdr:x>0.91336</cdr:x>
      <cdr:y>0.20961</cdr:y>
    </cdr:to>
    <cdr:cxnSp macro="">
      <cdr:nvCxnSpPr>
        <cdr:cNvPr id="4" name="Straight Connector 3">
          <a:extLst xmlns:a="http://schemas.openxmlformats.org/drawingml/2006/main">
            <a:ext uri="{FF2B5EF4-FFF2-40B4-BE49-F238E27FC236}">
              <a16:creationId xmlns:a16="http://schemas.microsoft.com/office/drawing/2014/main" id="{A6F38756-5773-2878-869E-248B5762A45A}"/>
            </a:ext>
          </a:extLst>
        </cdr:cNvPr>
        <cdr:cNvCxnSpPr/>
      </cdr:nvCxnSpPr>
      <cdr:spPr>
        <a:xfrm xmlns:a="http://schemas.openxmlformats.org/drawingml/2006/main">
          <a:off x="2057400" y="723900"/>
          <a:ext cx="1798320" cy="7620"/>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8</xdr:col>
      <xdr:colOff>36195</xdr:colOff>
      <xdr:row>31</xdr:row>
      <xdr:rowOff>72390</xdr:rowOff>
    </xdr:from>
    <xdr:to>
      <xdr:col>14</xdr:col>
      <xdr:colOff>308614</xdr:colOff>
      <xdr:row>33</xdr:row>
      <xdr:rowOff>112395</xdr:rowOff>
    </xdr:to>
    <xdr:sp macro="" textlink="">
      <xdr:nvSpPr>
        <xdr:cNvPr id="2" name="Text Box 1">
          <a:extLst>
            <a:ext uri="{FF2B5EF4-FFF2-40B4-BE49-F238E27FC236}">
              <a16:creationId xmlns:a16="http://schemas.microsoft.com/office/drawing/2014/main" id="{AD40B22C-F160-49B5-8E5A-32AA88081F20}"/>
            </a:ext>
          </a:extLst>
        </xdr:cNvPr>
        <xdr:cNvSpPr txBox="1">
          <a:spLocks noChangeArrowheads="1"/>
        </xdr:cNvSpPr>
      </xdr:nvSpPr>
      <xdr:spPr bwMode="auto">
        <a:xfrm>
          <a:off x="4179570" y="6225540"/>
          <a:ext cx="3501394" cy="5448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Hoffman, G.J. 1996.  “Leaching fraction and root zone salinity control.” Agricultural Salinity Assessment and Management.  ASCE.  New York, N.Y.  Manual No. 71:410-415</a:t>
          </a:r>
        </a:p>
      </xdr:txBody>
    </xdr:sp>
    <xdr:clientData/>
  </xdr:twoCellAnchor>
  <xdr:twoCellAnchor>
    <xdr:from>
      <xdr:col>0</xdr:col>
      <xdr:colOff>38100</xdr:colOff>
      <xdr:row>24</xdr:row>
      <xdr:rowOff>49530</xdr:rowOff>
    </xdr:from>
    <xdr:to>
      <xdr:col>14</xdr:col>
      <xdr:colOff>577211</xdr:colOff>
      <xdr:row>27</xdr:row>
      <xdr:rowOff>160020</xdr:rowOff>
    </xdr:to>
    <xdr:sp macro="" textlink="">
      <xdr:nvSpPr>
        <xdr:cNvPr id="3" name="Text Box 2">
          <a:extLst>
            <a:ext uri="{FF2B5EF4-FFF2-40B4-BE49-F238E27FC236}">
              <a16:creationId xmlns:a16="http://schemas.microsoft.com/office/drawing/2014/main" id="{6ED7E595-BC40-4CF1-9D8F-BB52F8E10827}"/>
            </a:ext>
          </a:extLst>
        </xdr:cNvPr>
        <xdr:cNvSpPr txBox="1">
          <a:spLocks noChangeArrowheads="1"/>
        </xdr:cNvSpPr>
      </xdr:nvSpPr>
      <xdr:spPr bwMode="auto">
        <a:xfrm>
          <a:off x="38100" y="4792980"/>
          <a:ext cx="7911461" cy="7200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Note:</a:t>
          </a:r>
          <a:r>
            <a:rPr lang="en-US" sz="1000" b="0" i="0" u="none" strike="noStrike" baseline="0">
              <a:solidFill>
                <a:srgbClr val="000000"/>
              </a:solidFill>
              <a:latin typeface="Arial"/>
              <a:cs typeface="Arial"/>
            </a:rPr>
            <a:t>  Fill in your lab data in the above box.  Ca, Mg and Na must be in "meq/l".  If your lab has stated them in "ppm" you can find the conversion factors on the </a:t>
          </a:r>
          <a:r>
            <a:rPr lang="en-US" sz="1000" b="1" i="0" u="none" strike="noStrike" baseline="0">
              <a:solidFill>
                <a:srgbClr val="000000"/>
              </a:solidFill>
              <a:latin typeface="Arial"/>
              <a:cs typeface="Arial"/>
            </a:rPr>
            <a:t>Conversions-SAR</a:t>
          </a:r>
          <a:r>
            <a:rPr lang="en-US" sz="1000" b="0" i="0" u="none" strike="noStrike" baseline="0">
              <a:solidFill>
                <a:srgbClr val="000000"/>
              </a:solidFill>
              <a:latin typeface="Arial"/>
              <a:cs typeface="Arial"/>
            </a:rPr>
            <a:t> tab below.  Be sure and enter the </a:t>
          </a:r>
          <a:r>
            <a:rPr lang="en-US" sz="1000" b="1" i="0" u="none" strike="noStrike" baseline="0">
              <a:solidFill>
                <a:srgbClr val="000000"/>
              </a:solidFill>
              <a:latin typeface="Arial"/>
              <a:cs typeface="Arial"/>
            </a:rPr>
            <a:t>Sample Thickness</a:t>
          </a:r>
          <a:r>
            <a:rPr lang="en-US" sz="1000" b="0" i="0" u="none" strike="noStrike" baseline="0">
              <a:solidFill>
                <a:srgbClr val="000000"/>
              </a:solidFill>
              <a:latin typeface="Arial"/>
              <a:cs typeface="Arial"/>
            </a:rPr>
            <a:t> of each sample depth and the </a:t>
          </a:r>
          <a:r>
            <a:rPr lang="en-US" sz="1000" b="1" i="0" u="none" strike="noStrike" baseline="0">
              <a:solidFill>
                <a:srgbClr val="000000"/>
              </a:solidFill>
              <a:latin typeface="Arial"/>
              <a:cs typeface="Arial"/>
            </a:rPr>
            <a:t>Desired Salinity </a:t>
          </a:r>
          <a:r>
            <a:rPr lang="en-US" sz="1000" b="0" i="0" u="none" strike="noStrike" baseline="0">
              <a:solidFill>
                <a:srgbClr val="000000"/>
              </a:solidFill>
              <a:latin typeface="Arial"/>
              <a:cs typeface="Arial"/>
            </a:rPr>
            <a:t>for the rootzone of that crop.  Approximate acceptable rootzone EC thresholds are listed in the table below.  For practical management and reduced leaf burn in pistachios an average rootzone EC &lt; 6 dS/m is prefered.  For pomegranates a best guess is EC &lt; 4 dS/m for maximum production.</a:t>
          </a:r>
        </a:p>
      </xdr:txBody>
    </xdr:sp>
    <xdr:clientData/>
  </xdr:twoCellAnchor>
  <xdr:twoCellAnchor editAs="oneCell">
    <xdr:from>
      <xdr:col>7</xdr:col>
      <xdr:colOff>38100</xdr:colOff>
      <xdr:row>33</xdr:row>
      <xdr:rowOff>137160</xdr:rowOff>
    </xdr:from>
    <xdr:to>
      <xdr:col>14</xdr:col>
      <xdr:colOff>685800</xdr:colOff>
      <xdr:row>48</xdr:row>
      <xdr:rowOff>129540</xdr:rowOff>
    </xdr:to>
    <xdr:pic>
      <xdr:nvPicPr>
        <xdr:cNvPr id="4" name="Picture 4">
          <a:extLst>
            <a:ext uri="{FF2B5EF4-FFF2-40B4-BE49-F238E27FC236}">
              <a16:creationId xmlns:a16="http://schemas.microsoft.com/office/drawing/2014/main" id="{5ABB8174-4E08-4AF2-9D52-E11B33E25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0950" y="6795135"/>
          <a:ext cx="4267200" cy="3068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388620</xdr:colOff>
      <xdr:row>3</xdr:row>
      <xdr:rowOff>15240</xdr:rowOff>
    </xdr:from>
    <xdr:to>
      <xdr:col>22</xdr:col>
      <xdr:colOff>342900</xdr:colOff>
      <xdr:row>21</xdr:row>
      <xdr:rowOff>68580</xdr:rowOff>
    </xdr:to>
    <xdr:graphicFrame macro="">
      <xdr:nvGraphicFramePr>
        <xdr:cNvPr id="5" name="Chart 6">
          <a:extLst>
            <a:ext uri="{FF2B5EF4-FFF2-40B4-BE49-F238E27FC236}">
              <a16:creationId xmlns:a16="http://schemas.microsoft.com/office/drawing/2014/main" id="{F3596652-522B-4B7D-A6C8-03C5D1FE0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607695</xdr:colOff>
      <xdr:row>27</xdr:row>
      <xdr:rowOff>169545</xdr:rowOff>
    </xdr:from>
    <xdr:to>
      <xdr:col>21</xdr:col>
      <xdr:colOff>207645</xdr:colOff>
      <xdr:row>32</xdr:row>
      <xdr:rowOff>207645</xdr:rowOff>
    </xdr:to>
    <xdr:sp macro="" textlink="">
      <xdr:nvSpPr>
        <xdr:cNvPr id="6" name="Text Box 8">
          <a:extLst>
            <a:ext uri="{FF2B5EF4-FFF2-40B4-BE49-F238E27FC236}">
              <a16:creationId xmlns:a16="http://schemas.microsoft.com/office/drawing/2014/main" id="{24DC4857-3F24-4E13-9ABC-3ABB0F2B86D6}"/>
            </a:ext>
          </a:extLst>
        </xdr:cNvPr>
        <xdr:cNvSpPr txBox="1">
          <a:spLocks noChangeArrowheads="1"/>
        </xdr:cNvSpPr>
      </xdr:nvSpPr>
      <xdr:spPr bwMode="auto">
        <a:xfrm>
          <a:off x="7980045" y="5522595"/>
          <a:ext cx="3962400" cy="1066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Original Ref:</a:t>
          </a:r>
        </a:p>
        <a:p>
          <a:pPr algn="l" rtl="0">
            <a:defRPr sz="1000"/>
          </a:pPr>
          <a:r>
            <a:rPr lang="en-US" sz="1200" b="1" i="0" u="none" strike="noStrike" baseline="0">
              <a:solidFill>
                <a:srgbClr val="000000"/>
              </a:solidFill>
              <a:latin typeface="Arial"/>
              <a:cs typeface="Arial"/>
            </a:rPr>
            <a:t>Hoffman G.J. 1980 Guidelines for reclamation of salt-affected soils. Proc. Inter-American Salinity and Water Management Technology Conference. Juarez, Mexico. 11–12 December 1980. pp. 49–64.</a:t>
          </a:r>
        </a:p>
      </xdr:txBody>
    </xdr:sp>
    <xdr:clientData/>
  </xdr:twoCellAnchor>
  <xdr:twoCellAnchor>
    <xdr:from>
      <xdr:col>7</xdr:col>
      <xdr:colOff>369570</xdr:colOff>
      <xdr:row>13</xdr:row>
      <xdr:rowOff>89265</xdr:rowOff>
    </xdr:from>
    <xdr:to>
      <xdr:col>11</xdr:col>
      <xdr:colOff>331470</xdr:colOff>
      <xdr:row>14</xdr:row>
      <xdr:rowOff>169749</xdr:rowOff>
    </xdr:to>
    <xdr:sp macro="" textlink="">
      <xdr:nvSpPr>
        <xdr:cNvPr id="7" name="Freeform 1">
          <a:extLst>
            <a:ext uri="{FF2B5EF4-FFF2-40B4-BE49-F238E27FC236}">
              <a16:creationId xmlns:a16="http://schemas.microsoft.com/office/drawing/2014/main" id="{8622AF61-2CCB-4736-A348-2519CFC8A5D0}"/>
            </a:ext>
          </a:extLst>
        </xdr:cNvPr>
        <xdr:cNvSpPr/>
      </xdr:nvSpPr>
      <xdr:spPr>
        <a:xfrm>
          <a:off x="4122420" y="2575290"/>
          <a:ext cx="1790700" cy="328134"/>
        </a:xfrm>
        <a:custGeom>
          <a:avLst/>
          <a:gdLst>
            <a:gd name="connsiteX0" fmla="*/ 0 w 1790700"/>
            <a:gd name="connsiteY0" fmla="*/ 26940 h 312690"/>
            <a:gd name="connsiteX1" fmla="*/ 838200 w 1790700"/>
            <a:gd name="connsiteY1" fmla="*/ 7890 h 312690"/>
            <a:gd name="connsiteX2" fmla="*/ 1619250 w 1790700"/>
            <a:gd name="connsiteY2" fmla="*/ 141240 h 312690"/>
            <a:gd name="connsiteX3" fmla="*/ 1790700 w 1790700"/>
            <a:gd name="connsiteY3" fmla="*/ 312690 h 312690"/>
          </a:gdLst>
          <a:ahLst/>
          <a:cxnLst>
            <a:cxn ang="0">
              <a:pos x="connsiteX0" y="connsiteY0"/>
            </a:cxn>
            <a:cxn ang="0">
              <a:pos x="connsiteX1" y="connsiteY1"/>
            </a:cxn>
            <a:cxn ang="0">
              <a:pos x="connsiteX2" y="connsiteY2"/>
            </a:cxn>
            <a:cxn ang="0">
              <a:pos x="connsiteX3" y="connsiteY3"/>
            </a:cxn>
          </a:cxnLst>
          <a:rect l="l" t="t" r="r" b="b"/>
          <a:pathLst>
            <a:path w="1790700" h="312690">
              <a:moveTo>
                <a:pt x="0" y="26940"/>
              </a:moveTo>
              <a:cubicBezTo>
                <a:pt x="284162" y="7890"/>
                <a:pt x="568325" y="-11160"/>
                <a:pt x="838200" y="7890"/>
              </a:cubicBezTo>
              <a:cubicBezTo>
                <a:pt x="1108075" y="26940"/>
                <a:pt x="1460500" y="90440"/>
                <a:pt x="1619250" y="141240"/>
              </a:cubicBezTo>
              <a:cubicBezTo>
                <a:pt x="1778000" y="192040"/>
                <a:pt x="1790700" y="312690"/>
                <a:pt x="1790700" y="312690"/>
              </a:cubicBezTo>
            </a:path>
          </a:pathLst>
        </a:custGeom>
        <a:ln w="25400">
          <a:tailEnd type="stealth"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xdr:col>
      <xdr:colOff>547496</xdr:colOff>
      <xdr:row>13</xdr:row>
      <xdr:rowOff>152400</xdr:rowOff>
    </xdr:from>
    <xdr:to>
      <xdr:col>8</xdr:col>
      <xdr:colOff>171524</xdr:colOff>
      <xdr:row>20</xdr:row>
      <xdr:rowOff>93678</xdr:rowOff>
    </xdr:to>
    <xdr:sp macro="" textlink="">
      <xdr:nvSpPr>
        <xdr:cNvPr id="8" name="Freeform 2">
          <a:extLst>
            <a:ext uri="{FF2B5EF4-FFF2-40B4-BE49-F238E27FC236}">
              <a16:creationId xmlns:a16="http://schemas.microsoft.com/office/drawing/2014/main" id="{0CB2814E-C840-43F3-AF6B-6CC7B0D35816}"/>
            </a:ext>
          </a:extLst>
        </xdr:cNvPr>
        <xdr:cNvSpPr/>
      </xdr:nvSpPr>
      <xdr:spPr>
        <a:xfrm>
          <a:off x="1157096" y="2638425"/>
          <a:ext cx="3157803" cy="1312878"/>
        </a:xfrm>
        <a:custGeom>
          <a:avLst/>
          <a:gdLst>
            <a:gd name="connsiteX0" fmla="*/ 2801494 w 3039680"/>
            <a:gd name="connsiteY0" fmla="*/ 0 h 1312878"/>
            <a:gd name="connsiteX1" fmla="*/ 3039619 w 3039680"/>
            <a:gd name="connsiteY1" fmla="*/ 200025 h 1312878"/>
            <a:gd name="connsiteX2" fmla="*/ 2782444 w 3039680"/>
            <a:gd name="connsiteY2" fmla="*/ 409575 h 1312878"/>
            <a:gd name="connsiteX3" fmla="*/ 1572769 w 3039680"/>
            <a:gd name="connsiteY3" fmla="*/ 390525 h 1312878"/>
            <a:gd name="connsiteX4" fmla="*/ 201169 w 3039680"/>
            <a:gd name="connsiteY4" fmla="*/ 438150 h 1312878"/>
            <a:gd name="connsiteX5" fmla="*/ 115444 w 3039680"/>
            <a:gd name="connsiteY5" fmla="*/ 1219200 h 1312878"/>
            <a:gd name="connsiteX6" fmla="*/ 1239394 w 3039680"/>
            <a:gd name="connsiteY6" fmla="*/ 1257300 h 1312878"/>
            <a:gd name="connsiteX7" fmla="*/ 2772919 w 3039680"/>
            <a:gd name="connsiteY7" fmla="*/ 1247775 h 1312878"/>
            <a:gd name="connsiteX8" fmla="*/ 2734819 w 3039680"/>
            <a:gd name="connsiteY8" fmla="*/ 428625 h 13128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39680" h="1312878">
              <a:moveTo>
                <a:pt x="2801494" y="0"/>
              </a:moveTo>
              <a:cubicBezTo>
                <a:pt x="2922144" y="65881"/>
                <a:pt x="3042794" y="131763"/>
                <a:pt x="3039619" y="200025"/>
              </a:cubicBezTo>
              <a:cubicBezTo>
                <a:pt x="3036444" y="268287"/>
                <a:pt x="3026919" y="377825"/>
                <a:pt x="2782444" y="409575"/>
              </a:cubicBezTo>
              <a:cubicBezTo>
                <a:pt x="2537969" y="441325"/>
                <a:pt x="2002981" y="385763"/>
                <a:pt x="1572769" y="390525"/>
              </a:cubicBezTo>
              <a:cubicBezTo>
                <a:pt x="1142557" y="395287"/>
                <a:pt x="444056" y="300038"/>
                <a:pt x="201169" y="438150"/>
              </a:cubicBezTo>
              <a:cubicBezTo>
                <a:pt x="-41718" y="576262"/>
                <a:pt x="-57593" y="1082675"/>
                <a:pt x="115444" y="1219200"/>
              </a:cubicBezTo>
              <a:cubicBezTo>
                <a:pt x="288481" y="1355725"/>
                <a:pt x="1239394" y="1257300"/>
                <a:pt x="1239394" y="1257300"/>
              </a:cubicBezTo>
              <a:cubicBezTo>
                <a:pt x="1682306" y="1262062"/>
                <a:pt x="2523682" y="1385887"/>
                <a:pt x="2772919" y="1247775"/>
              </a:cubicBezTo>
              <a:cubicBezTo>
                <a:pt x="3022156" y="1109663"/>
                <a:pt x="2734819" y="428625"/>
                <a:pt x="2734819" y="428625"/>
              </a:cubicBezTo>
            </a:path>
          </a:pathLst>
        </a:cu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8</xdr:col>
      <xdr:colOff>304800</xdr:colOff>
      <xdr:row>0</xdr:row>
      <xdr:rowOff>47625</xdr:rowOff>
    </xdr:from>
    <xdr:to>
      <xdr:col>15</xdr:col>
      <xdr:colOff>152400</xdr:colOff>
      <xdr:row>3</xdr:row>
      <xdr:rowOff>180975</xdr:rowOff>
    </xdr:to>
    <xdr:sp macro="" textlink="">
      <xdr:nvSpPr>
        <xdr:cNvPr id="9" name="TextBox 8">
          <a:extLst>
            <a:ext uri="{FF2B5EF4-FFF2-40B4-BE49-F238E27FC236}">
              <a16:creationId xmlns:a16="http://schemas.microsoft.com/office/drawing/2014/main" id="{D0BD79E7-EBA8-4F34-AF40-9609A75C1B92}"/>
            </a:ext>
          </a:extLst>
        </xdr:cNvPr>
        <xdr:cNvSpPr txBox="1"/>
      </xdr:nvSpPr>
      <xdr:spPr>
        <a:xfrm>
          <a:off x="4448175" y="47625"/>
          <a:ext cx="37814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SALINITY TRIAL DATA 11/20/2023 </a:t>
          </a:r>
        </a:p>
        <a:p>
          <a:pPr algn="ctr"/>
          <a:r>
            <a:rPr lang="en-US" sz="2000" b="1"/>
            <a:t>- Threshold ECe 4.5 dS/m</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0.44404</cdr:x>
      <cdr:y>0.02685</cdr:y>
    </cdr:from>
    <cdr:to>
      <cdr:x>0.93983</cdr:x>
      <cdr:y>0.27948</cdr:y>
    </cdr:to>
    <cdr:sp macro="" textlink="">
      <cdr:nvSpPr>
        <cdr:cNvPr id="2" name="Text Box 7"/>
        <cdr:cNvSpPr txBox="1">
          <a:spLocks xmlns:a="http://schemas.openxmlformats.org/drawingml/2006/main" noChangeArrowheads="1"/>
        </cdr:cNvSpPr>
      </cdr:nvSpPr>
      <cdr:spPr bwMode="auto">
        <a:xfrm xmlns:a="http://schemas.openxmlformats.org/drawingml/2006/main">
          <a:off x="1874520" y="93702"/>
          <a:ext cx="2092959" cy="88165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wrap="square" lIns="36576"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400" b="0" i="0" u="none" strike="noStrike" baseline="0">
              <a:solidFill>
                <a:srgbClr val="000000"/>
              </a:solidFill>
              <a:latin typeface="Arial"/>
              <a:cs typeface="Arial"/>
            </a:rPr>
            <a:t>Required leaching: </a:t>
          </a:r>
        </a:p>
        <a:p xmlns:a="http://schemas.openxmlformats.org/drawingml/2006/main">
          <a:pPr algn="l" rtl="0">
            <a:defRPr sz="1000"/>
          </a:pPr>
          <a:r>
            <a:rPr lang="en-US" sz="1400" b="0" i="0" u="none" strike="noStrike" baseline="0">
              <a:solidFill>
                <a:srgbClr val="000000"/>
              </a:solidFill>
              <a:latin typeface="Arial"/>
              <a:cs typeface="Arial"/>
            </a:rPr>
            <a:t>(foot water/foot soil) </a:t>
          </a:r>
        </a:p>
        <a:p xmlns:a="http://schemas.openxmlformats.org/drawingml/2006/main">
          <a:pPr algn="l" rtl="0">
            <a:defRPr sz="1000"/>
          </a:pPr>
          <a:r>
            <a:rPr lang="en-US" sz="1400" b="0" i="0" u="none" strike="noStrike" baseline="0">
              <a:solidFill>
                <a:srgbClr val="000000"/>
              </a:solidFill>
              <a:latin typeface="Arial"/>
              <a:cs typeface="Arial"/>
            </a:rPr>
            <a:t>=                  K         </a:t>
          </a:r>
        </a:p>
        <a:p xmlns:a="http://schemas.openxmlformats.org/drawingml/2006/main">
          <a:pPr algn="l" rtl="0">
            <a:defRPr sz="1000"/>
          </a:pPr>
          <a:r>
            <a:rPr lang="en-US" sz="1400" b="0" i="0" u="none" strike="noStrike" baseline="0">
              <a:solidFill>
                <a:srgbClr val="000000"/>
              </a:solidFill>
              <a:latin typeface="Arial"/>
              <a:cs typeface="Arial"/>
            </a:rPr>
            <a:t>   (desired EC/actual EC)</a:t>
          </a:r>
        </a:p>
      </cdr:txBody>
    </cdr:sp>
  </cdr:relSizeAnchor>
  <cdr:relSizeAnchor xmlns:cdr="http://schemas.openxmlformats.org/drawingml/2006/chartDrawing">
    <cdr:from>
      <cdr:x>0.48736</cdr:x>
      <cdr:y>0.20742</cdr:y>
    </cdr:from>
    <cdr:to>
      <cdr:x>0.91336</cdr:x>
      <cdr:y>0.20961</cdr:y>
    </cdr:to>
    <cdr:cxnSp macro="">
      <cdr:nvCxnSpPr>
        <cdr:cNvPr id="4" name="Straight Connector 3">
          <a:extLst xmlns:a="http://schemas.openxmlformats.org/drawingml/2006/main">
            <a:ext uri="{FF2B5EF4-FFF2-40B4-BE49-F238E27FC236}">
              <a16:creationId xmlns:a16="http://schemas.microsoft.com/office/drawing/2014/main" id="{A6F38756-5773-2878-869E-248B5762A45A}"/>
            </a:ext>
          </a:extLst>
        </cdr:cNvPr>
        <cdr:cNvCxnSpPr/>
      </cdr:nvCxnSpPr>
      <cdr:spPr>
        <a:xfrm xmlns:a="http://schemas.openxmlformats.org/drawingml/2006/main">
          <a:off x="2057400" y="723900"/>
          <a:ext cx="1798320" cy="7620"/>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xdr:col>
      <xdr:colOff>409575</xdr:colOff>
      <xdr:row>0</xdr:row>
      <xdr:rowOff>68792</xdr:rowOff>
    </xdr:from>
    <xdr:to>
      <xdr:col>8</xdr:col>
      <xdr:colOff>276225</xdr:colOff>
      <xdr:row>1</xdr:row>
      <xdr:rowOff>792692</xdr:rowOff>
    </xdr:to>
    <xdr:sp macro="" textlink="">
      <xdr:nvSpPr>
        <xdr:cNvPr id="2" name="TextBox 1">
          <a:extLst>
            <a:ext uri="{FF2B5EF4-FFF2-40B4-BE49-F238E27FC236}">
              <a16:creationId xmlns:a16="http://schemas.microsoft.com/office/drawing/2014/main" id="{633B367A-6315-488C-8DD2-78E2204E88F4}"/>
            </a:ext>
          </a:extLst>
        </xdr:cNvPr>
        <xdr:cNvSpPr txBox="1"/>
      </xdr:nvSpPr>
      <xdr:spPr>
        <a:xfrm>
          <a:off x="1019175" y="68792"/>
          <a:ext cx="43148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SALINITY TRIAL DATA 11/20/2023 </a:t>
          </a:r>
        </a:p>
        <a:p>
          <a:pPr algn="ctr"/>
          <a:r>
            <a:rPr lang="en-US" sz="2000" b="1"/>
            <a:t>- Threshold ECe 4.5 dS/m</a:t>
          </a:r>
        </a:p>
      </xdr:txBody>
    </xdr:sp>
    <xdr:clientData/>
  </xdr:twoCellAnchor>
  <xdr:twoCellAnchor>
    <xdr:from>
      <xdr:col>2</xdr:col>
      <xdr:colOff>361950</xdr:colOff>
      <xdr:row>4</xdr:row>
      <xdr:rowOff>133349</xdr:rowOff>
    </xdr:from>
    <xdr:to>
      <xdr:col>7</xdr:col>
      <xdr:colOff>28575</xdr:colOff>
      <xdr:row>8</xdr:row>
      <xdr:rowOff>66674</xdr:rowOff>
    </xdr:to>
    <xdr:sp macro="" textlink="">
      <xdr:nvSpPr>
        <xdr:cNvPr id="3" name="TextBox 2">
          <a:extLst>
            <a:ext uri="{FF2B5EF4-FFF2-40B4-BE49-F238E27FC236}">
              <a16:creationId xmlns:a16="http://schemas.microsoft.com/office/drawing/2014/main" id="{7023D3C8-76AD-40E1-8332-4AF25DD3D5D7}"/>
            </a:ext>
          </a:extLst>
        </xdr:cNvPr>
        <xdr:cNvSpPr txBox="1"/>
      </xdr:nvSpPr>
      <xdr:spPr>
        <a:xfrm>
          <a:off x="1581150" y="1571624"/>
          <a:ext cx="2895600" cy="695325"/>
        </a:xfrm>
        <a:prstGeom prst="rect">
          <a:avLst/>
        </a:prstGeom>
        <a:solidFill>
          <a:schemeClr val="lt1"/>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t>11.4" reclamation leaching to reach rootzone 4.5 dS/m</a:t>
          </a:r>
        </a:p>
      </xdr:txBody>
    </xdr:sp>
    <xdr:clientData/>
  </xdr:twoCellAnchor>
  <xdr:twoCellAnchor>
    <xdr:from>
      <xdr:col>1</xdr:col>
      <xdr:colOff>114301</xdr:colOff>
      <xdr:row>22</xdr:row>
      <xdr:rowOff>28575</xdr:rowOff>
    </xdr:from>
    <xdr:to>
      <xdr:col>8</xdr:col>
      <xdr:colOff>276226</xdr:colOff>
      <xdr:row>22</xdr:row>
      <xdr:rowOff>792692</xdr:rowOff>
    </xdr:to>
    <xdr:sp macro="" textlink="">
      <xdr:nvSpPr>
        <xdr:cNvPr id="4" name="TextBox 3">
          <a:extLst>
            <a:ext uri="{FF2B5EF4-FFF2-40B4-BE49-F238E27FC236}">
              <a16:creationId xmlns:a16="http://schemas.microsoft.com/office/drawing/2014/main" id="{5A5F3A29-7720-4813-A1C1-02DA8A8D5B13}"/>
            </a:ext>
          </a:extLst>
        </xdr:cNvPr>
        <xdr:cNvSpPr txBox="1"/>
      </xdr:nvSpPr>
      <xdr:spPr>
        <a:xfrm>
          <a:off x="723901" y="5629275"/>
          <a:ext cx="4610100" cy="76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SALINITY TRIAL DATA 11/20/2023 </a:t>
          </a:r>
        </a:p>
        <a:p>
          <a:pPr algn="ctr"/>
          <a:r>
            <a:rPr lang="en-US" sz="2000" b="1"/>
            <a:t>60% AVAILABLE</a:t>
          </a:r>
          <a:r>
            <a:rPr lang="en-US" sz="2000" b="1" baseline="0"/>
            <a:t> SOIL MOISTURE TO 5 FT</a:t>
          </a:r>
          <a:endParaRPr lang="en-US" sz="2000" b="1"/>
        </a:p>
      </xdr:txBody>
    </xdr:sp>
    <xdr:clientData/>
  </xdr:twoCellAnchor>
  <xdr:twoCellAnchor>
    <xdr:from>
      <xdr:col>1</xdr:col>
      <xdr:colOff>9524</xdr:colOff>
      <xdr:row>25</xdr:row>
      <xdr:rowOff>114299</xdr:rowOff>
    </xdr:from>
    <xdr:to>
      <xdr:col>7</xdr:col>
      <xdr:colOff>581024</xdr:colOff>
      <xdr:row>29</xdr:row>
      <xdr:rowOff>47624</xdr:rowOff>
    </xdr:to>
    <xdr:sp macro="" textlink="">
      <xdr:nvSpPr>
        <xdr:cNvPr id="5" name="TextBox 4">
          <a:extLst>
            <a:ext uri="{FF2B5EF4-FFF2-40B4-BE49-F238E27FC236}">
              <a16:creationId xmlns:a16="http://schemas.microsoft.com/office/drawing/2014/main" id="{316B6AE8-BD43-4372-AB8B-EECF27DD2108}"/>
            </a:ext>
          </a:extLst>
        </xdr:cNvPr>
        <xdr:cNvSpPr txBox="1"/>
      </xdr:nvSpPr>
      <xdr:spPr>
        <a:xfrm>
          <a:off x="619124" y="6953249"/>
          <a:ext cx="4410075" cy="723900"/>
        </a:xfrm>
        <a:prstGeom prst="rect">
          <a:avLst/>
        </a:prstGeom>
        <a:solidFill>
          <a:schemeClr val="lt1"/>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t>40%</a:t>
          </a:r>
          <a:r>
            <a:rPr lang="en-US" sz="1800" b="1" baseline="0"/>
            <a:t> soil moisture rootzone deficit = 3.6" =1.08 field irrigated inches = 43 hrs run</a:t>
          </a:r>
          <a:endParaRPr lang="en-US" sz="1800" b="1"/>
        </a:p>
      </xdr:txBody>
    </xdr:sp>
    <xdr:clientData/>
  </xdr:twoCellAnchor>
  <xdr:twoCellAnchor>
    <xdr:from>
      <xdr:col>16</xdr:col>
      <xdr:colOff>104774</xdr:colOff>
      <xdr:row>19</xdr:row>
      <xdr:rowOff>47625</xdr:rowOff>
    </xdr:from>
    <xdr:to>
      <xdr:col>23</xdr:col>
      <xdr:colOff>495299</xdr:colOff>
      <xdr:row>22</xdr:row>
      <xdr:rowOff>85725</xdr:rowOff>
    </xdr:to>
    <xdr:sp macro="" textlink="">
      <xdr:nvSpPr>
        <xdr:cNvPr id="6" name="TextBox 5">
          <a:extLst>
            <a:ext uri="{FF2B5EF4-FFF2-40B4-BE49-F238E27FC236}">
              <a16:creationId xmlns:a16="http://schemas.microsoft.com/office/drawing/2014/main" id="{06001224-D4F9-435E-C6FA-1F9A40609F2F}"/>
            </a:ext>
          </a:extLst>
        </xdr:cNvPr>
        <xdr:cNvSpPr txBox="1"/>
      </xdr:nvSpPr>
      <xdr:spPr>
        <a:xfrm>
          <a:off x="11134724" y="4933950"/>
          <a:ext cx="4657725" cy="752475"/>
        </a:xfrm>
        <a:prstGeom prst="rect">
          <a:avLst/>
        </a:prstGeom>
        <a:solidFill>
          <a:srgbClr val="C5D3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FINAL</a:t>
          </a:r>
          <a:r>
            <a:rPr lang="en-US" sz="1400" b="1" baseline="0"/>
            <a:t> TOTAL IRRIGATION INCHES AND RUNTIME FOR BOTH RECHARGE &amp; LEACHING  </a:t>
          </a:r>
        </a:p>
        <a:p>
          <a:pPr algn="ctr"/>
          <a:r>
            <a:rPr lang="en-US" sz="1200" b="1" baseline="0"/>
            <a:t>(Note: profile must be at FIELD CAPACITY before leaching can begin.)</a:t>
          </a:r>
          <a:endParaRPr lang="en-US"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411480</xdr:colOff>
      <xdr:row>2</xdr:row>
      <xdr:rowOff>30480</xdr:rowOff>
    </xdr:from>
    <xdr:to>
      <xdr:col>10</xdr:col>
      <xdr:colOff>60960</xdr:colOff>
      <xdr:row>17</xdr:row>
      <xdr:rowOff>160020</xdr:rowOff>
    </xdr:to>
    <xdr:graphicFrame macro="">
      <xdr:nvGraphicFramePr>
        <xdr:cNvPr id="5494" name="Chart 1">
          <a:extLst>
            <a:ext uri="{FF2B5EF4-FFF2-40B4-BE49-F238E27FC236}">
              <a16:creationId xmlns:a16="http://schemas.microsoft.com/office/drawing/2014/main" id="{00000000-0008-0000-0400-00007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167640</xdr:colOff>
          <xdr:row>18</xdr:row>
          <xdr:rowOff>114300</xdr:rowOff>
        </xdr:from>
        <xdr:to>
          <xdr:col>16</xdr:col>
          <xdr:colOff>525780</xdr:colOff>
          <xdr:row>39</xdr:row>
          <xdr:rowOff>106680</xdr:rowOff>
        </xdr:to>
        <xdr:pic>
          <xdr:nvPicPr>
            <xdr:cNvPr id="5495" name="Picture 2">
              <a:extLst>
                <a:ext uri="{FF2B5EF4-FFF2-40B4-BE49-F238E27FC236}">
                  <a16:creationId xmlns:a16="http://schemas.microsoft.com/office/drawing/2014/main" id="{00000000-0008-0000-0400-000077150000}"/>
                </a:ext>
              </a:extLst>
            </xdr:cNvPr>
            <xdr:cNvPicPr>
              <a:picLocks noChangeAspect="1" noChangeArrowheads="1"/>
              <a:extLst>
                <a:ext uri="{84589F7E-364E-4C9E-8A38-B11213B215E9}">
                  <a14:cameraTool cellRange="$L$1:$Q$18" spid="_x0000_s5625"/>
                </a:ext>
              </a:extLst>
            </xdr:cNvPicPr>
          </xdr:nvPicPr>
          <xdr:blipFill>
            <a:blip xmlns:r="http://schemas.openxmlformats.org/officeDocument/2006/relationships" r:embed="rId2"/>
            <a:srcRect/>
            <a:stretch>
              <a:fillRect/>
            </a:stretch>
          </xdr:blipFill>
          <xdr:spPr bwMode="auto">
            <a:xfrm>
              <a:off x="6515100" y="4503420"/>
              <a:ext cx="3840480" cy="441198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3</xdr:col>
      <xdr:colOff>289560</xdr:colOff>
      <xdr:row>24</xdr:row>
      <xdr:rowOff>0</xdr:rowOff>
    </xdr:from>
    <xdr:to>
      <xdr:col>10</xdr:col>
      <xdr:colOff>335280</xdr:colOff>
      <xdr:row>24</xdr:row>
      <xdr:rowOff>0</xdr:rowOff>
    </xdr:to>
    <xdr:graphicFrame macro="">
      <xdr:nvGraphicFramePr>
        <xdr:cNvPr id="5496" name="Chart 8">
          <a:extLst>
            <a:ext uri="{FF2B5EF4-FFF2-40B4-BE49-F238E27FC236}">
              <a16:creationId xmlns:a16="http://schemas.microsoft.com/office/drawing/2014/main" id="{00000000-0008-0000-0400-00007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228601</xdr:colOff>
      <xdr:row>2</xdr:row>
      <xdr:rowOff>87841</xdr:rowOff>
    </xdr:from>
    <xdr:to>
      <xdr:col>9</xdr:col>
      <xdr:colOff>436034</xdr:colOff>
      <xdr:row>4</xdr:row>
      <xdr:rowOff>186266</xdr:rowOff>
    </xdr:to>
    <xdr:sp macro="" textlink="">
      <xdr:nvSpPr>
        <xdr:cNvPr id="5129" name="Text Box 9">
          <a:extLst>
            <a:ext uri="{FF2B5EF4-FFF2-40B4-BE49-F238E27FC236}">
              <a16:creationId xmlns:a16="http://schemas.microsoft.com/office/drawing/2014/main" id="{00000000-0008-0000-0400-000009140000}"/>
            </a:ext>
          </a:extLst>
        </xdr:cNvPr>
        <xdr:cNvSpPr txBox="1">
          <a:spLocks noChangeArrowheads="1"/>
        </xdr:cNvSpPr>
      </xdr:nvSpPr>
      <xdr:spPr bwMode="auto">
        <a:xfrm>
          <a:off x="4140201" y="1256241"/>
          <a:ext cx="2036233"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Original calculation from flood irrigation</a:t>
          </a:r>
        </a:p>
      </xdr:txBody>
    </xdr:sp>
    <xdr:clientData/>
  </xdr:twoCellAnchor>
  <xdr:twoCellAnchor editAs="oneCell">
    <xdr:from>
      <xdr:col>0</xdr:col>
      <xdr:colOff>38100</xdr:colOff>
      <xdr:row>23</xdr:row>
      <xdr:rowOff>53340</xdr:rowOff>
    </xdr:from>
    <xdr:to>
      <xdr:col>10</xdr:col>
      <xdr:colOff>99060</xdr:colOff>
      <xdr:row>54</xdr:row>
      <xdr:rowOff>38100</xdr:rowOff>
    </xdr:to>
    <xdr:pic>
      <xdr:nvPicPr>
        <xdr:cNvPr id="5498" name="Picture 13">
          <a:extLst>
            <a:ext uri="{FF2B5EF4-FFF2-40B4-BE49-F238E27FC236}">
              <a16:creationId xmlns:a16="http://schemas.microsoft.com/office/drawing/2014/main" id="{00000000-0008-0000-0400-00007A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 y="5638800"/>
          <a:ext cx="6408420" cy="572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137583</xdr:rowOff>
    </xdr:from>
    <xdr:to>
      <xdr:col>22</xdr:col>
      <xdr:colOff>21166</xdr:colOff>
      <xdr:row>0</xdr:row>
      <xdr:rowOff>698500</xdr:rowOff>
    </xdr:to>
    <xdr:sp macro="" textlink="">
      <xdr:nvSpPr>
        <xdr:cNvPr id="2" name="TextBox 1">
          <a:extLst>
            <a:ext uri="{FF2B5EF4-FFF2-40B4-BE49-F238E27FC236}">
              <a16:creationId xmlns:a16="http://schemas.microsoft.com/office/drawing/2014/main" id="{87BF94F1-8746-84D6-2F0F-2B9CEAB8370C}"/>
            </a:ext>
          </a:extLst>
        </xdr:cNvPr>
        <xdr:cNvSpPr txBox="1"/>
      </xdr:nvSpPr>
      <xdr:spPr>
        <a:xfrm>
          <a:off x="10604500" y="137583"/>
          <a:ext cx="2995083" cy="5609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2022 Maricopa Orchards pistachio drip salinity</a:t>
          </a:r>
          <a:r>
            <a:rPr lang="en-US" sz="1400" b="1" baseline="0"/>
            <a:t> management trial</a:t>
          </a: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spen70\Excel%20Templates\data%20inp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k cl "/>
      <sheetName val="dissolvedvstotal"/>
      <sheetName val="IC Data"/>
      <sheetName val="mgtomeq"/>
      <sheetName val="data input"/>
      <sheetName val="limsstorm"/>
      <sheetName val="limsCDI"/>
      <sheetName val="limswaste water package"/>
      <sheetName val="limsagsuitplus"/>
      <sheetName val="limsO&amp;G"/>
      <sheetName val="limstotal"/>
      <sheetName val="LimsSpreckles"/>
      <sheetName val="LimsLosBanos"/>
      <sheetName val="limsPacking"/>
      <sheetName val="limsmonwell"/>
      <sheetName val="LimsGenMinPlus"/>
      <sheetName val="Generic Client"/>
      <sheetName val="coli"/>
      <sheetName val="agsuit meql"/>
      <sheetName val="agsuit mgl"/>
      <sheetName val="agsuit meql + mgl"/>
      <sheetName val="agsuit with EC vs SAR"/>
      <sheetName val="inorganic"/>
      <sheetName val="inorganic-ugL"/>
      <sheetName val="household"/>
      <sheetName val="COLIFORM-realtor"/>
      <sheetName val="Swabs"/>
      <sheetName val="general-mineral"/>
      <sheetName val="general-mineral-ugL"/>
      <sheetName val="Copper-Lead"/>
      <sheetName val="generalphysical"/>
      <sheetName val="radiological"/>
      <sheetName val="waste1"/>
      <sheetName val="LBF-Qtrly"/>
      <sheetName val="Los Banos"/>
      <sheetName val="MSP"/>
      <sheetName val="IP+PO4-P"/>
      <sheetName val="corcpork sample a"/>
      <sheetName val="corcpork sample b"/>
      <sheetName val="Central Valley Meat"/>
      <sheetName val="CVM-Monthly"/>
      <sheetName val="Westlake agsuit"/>
      <sheetName val="Leprino Food Oil &amp; Grease"/>
      <sheetName val="Leprino Foods (N's)"/>
      <sheetName val="Leprino agsuit"/>
      <sheetName val="Zonneveld (pond)"/>
      <sheetName val="Provost &amp; Pritchard"/>
      <sheetName val="2xmonth LiDestri Foods"/>
      <sheetName val="WineGrp-Effluent"/>
      <sheetName val="Wine Grp Lysimeter"/>
      <sheetName val="EJS&amp;Assoc"/>
      <sheetName val="JHK-Galhandro"/>
      <sheetName val="Kleinfelder"/>
      <sheetName val="Cacciatore Monthly"/>
      <sheetName val="Cacciatore every qrter."/>
      <sheetName val="DRP-Supply"/>
      <sheetName val="study GVGJ&amp;W"/>
      <sheetName val="Safety Kleen Corp"/>
      <sheetName val="Del Rey Supply"/>
      <sheetName val="Bogle"/>
      <sheetName val="Villa Toscano"/>
      <sheetName val="CDI (24 hrs)"/>
      <sheetName val="Permeate"/>
      <sheetName val="RO Water"/>
      <sheetName val="Pond 2"/>
      <sheetName val="Pond 4"/>
      <sheetName val="Pond 4 + B Cl"/>
      <sheetName val="Pond 4 discharge"/>
      <sheetName val="CDI Ponds Waters"/>
      <sheetName val="EC,Turbidity"/>
      <sheetName val="URS Corp"/>
      <sheetName val="Dairy Waters"/>
      <sheetName val="Dairy Waters + Fe Mn"/>
      <sheetName val="Kuhn"/>
      <sheetName val="Victor Eff-Summary"/>
      <sheetName val="GSV-Monthly-summary"/>
      <sheetName val="DRP-Mnthly-Summary"/>
      <sheetName val="Vita-Pakt-Citrus-summary"/>
      <sheetName val="LionRaisins-summary"/>
      <sheetName val="DelMonte-Hanford"/>
      <sheetName val="Spreckels-Monit"/>
      <sheetName val="Spreckels-Proc"/>
      <sheetName val="Condor"/>
      <sheetName val="Sheet1"/>
      <sheetName val="SAR adj RNA"/>
      <sheetName val="LBF Study"/>
      <sheetName val="GSV-Sump"/>
      <sheetName val="GVGJ Supply"/>
      <sheetName val="GVGJ&amp;W-summary"/>
      <sheetName val="GVGJ&amp;W-Monthly-summary"/>
      <sheetName val="pH Titration93%"/>
      <sheetName val="limswastewaterpkg"/>
      <sheetName val="limslago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17.emf"/><Relationship Id="rId18" Type="http://schemas.openxmlformats.org/officeDocument/2006/relationships/oleObject" Target="../embeddings/oleObject8.bin"/><Relationship Id="rId3" Type="http://schemas.openxmlformats.org/officeDocument/2006/relationships/printerSettings" Target="../printerSettings/printerSettings9.bin"/><Relationship Id="rId7" Type="http://schemas.openxmlformats.org/officeDocument/2006/relationships/image" Target="../media/image14.emf"/><Relationship Id="rId12" Type="http://schemas.openxmlformats.org/officeDocument/2006/relationships/oleObject" Target="../embeddings/oleObject5.bin"/><Relationship Id="rId17" Type="http://schemas.openxmlformats.org/officeDocument/2006/relationships/image" Target="../media/image19.emf"/><Relationship Id="rId2" Type="http://schemas.openxmlformats.org/officeDocument/2006/relationships/hyperlink" Target="http://www.fao.org/DOCREP/003/T0234E/T0234E00.htm" TargetMode="External"/><Relationship Id="rId16" Type="http://schemas.openxmlformats.org/officeDocument/2006/relationships/oleObject" Target="../embeddings/oleObject7.bin"/><Relationship Id="rId20" Type="http://schemas.openxmlformats.org/officeDocument/2006/relationships/image" Target="../media/image20.emf"/><Relationship Id="rId1" Type="http://schemas.openxmlformats.org/officeDocument/2006/relationships/hyperlink" Target="http://www.fao.org/DOCREP/003/T0234E/T0234E00.htm" TargetMode="External"/><Relationship Id="rId6" Type="http://schemas.openxmlformats.org/officeDocument/2006/relationships/oleObject" Target="../embeddings/oleObject2.bin"/><Relationship Id="rId11" Type="http://schemas.openxmlformats.org/officeDocument/2006/relationships/image" Target="../media/image16.emf"/><Relationship Id="rId5" Type="http://schemas.openxmlformats.org/officeDocument/2006/relationships/vmlDrawing" Target="../drawings/vmlDrawing5.vml"/><Relationship Id="rId15" Type="http://schemas.openxmlformats.org/officeDocument/2006/relationships/image" Target="../media/image18.emf"/><Relationship Id="rId10" Type="http://schemas.openxmlformats.org/officeDocument/2006/relationships/oleObject" Target="../embeddings/oleObject4.bin"/><Relationship Id="rId19" Type="http://schemas.openxmlformats.org/officeDocument/2006/relationships/oleObject" Target="../embeddings/oleObject9.bin"/><Relationship Id="rId4" Type="http://schemas.openxmlformats.org/officeDocument/2006/relationships/drawing" Target="../drawings/drawing14.xml"/><Relationship Id="rId9" Type="http://schemas.openxmlformats.org/officeDocument/2006/relationships/image" Target="../media/image15.emf"/><Relationship Id="rId14" Type="http://schemas.openxmlformats.org/officeDocument/2006/relationships/oleObject" Target="../embeddings/oleObject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1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fao.org/DOCREP/003/T0234E/T0234E00.htm" TargetMode="External"/><Relationship Id="rId1" Type="http://schemas.openxmlformats.org/officeDocument/2006/relationships/hyperlink" Target="http://www.fao.org/DOCREP/003/T0234E/T0234E02.htm" TargetMode="External"/><Relationship Id="rId5" Type="http://schemas.openxmlformats.org/officeDocument/2006/relationships/vmlDrawing" Target="../drawings/vmlDrawing3.vml"/><Relationship Id="rId4"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fao.org/DOCREP/003/T0234E/T0234E00.htm" TargetMode="External"/><Relationship Id="rId1" Type="http://schemas.openxmlformats.org/officeDocument/2006/relationships/hyperlink" Target="http://www.fao.org/DOCREP/003/T0234E/T0234E02.htm" TargetMode="External"/><Relationship Id="rId4"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election activeCell="L30" sqref="L30"/>
    </sheetView>
  </sheetViews>
  <sheetFormatPr defaultRowHeight="12.75"/>
  <sheetData/>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Y150"/>
  <sheetViews>
    <sheetView zoomScale="90" zoomScaleNormal="90" workbookViewId="0">
      <selection activeCell="B68" sqref="B68"/>
    </sheetView>
  </sheetViews>
  <sheetFormatPr defaultRowHeight="12.75"/>
  <cols>
    <col min="1" max="1" width="12.28515625" customWidth="1"/>
    <col min="2" max="2" width="10.140625" customWidth="1"/>
    <col min="3" max="3" width="10.42578125" customWidth="1"/>
    <col min="4" max="4" width="9.7109375" customWidth="1"/>
    <col min="5" max="5" width="10" customWidth="1"/>
    <col min="13" max="13" width="11.28515625" customWidth="1"/>
    <col min="14" max="16" width="10.85546875" customWidth="1"/>
    <col min="17" max="17" width="8.7109375" customWidth="1"/>
    <col min="18" max="18" width="9.5703125" customWidth="1"/>
  </cols>
  <sheetData>
    <row r="1" ht="16.7" customHeight="1"/>
    <row r="2" ht="14.25" customHeight="1"/>
    <row r="18" spans="1:24" ht="16.7" customHeight="1">
      <c r="A18" s="443" t="s">
        <v>172</v>
      </c>
      <c r="B18" s="440"/>
      <c r="C18" s="440"/>
      <c r="D18" s="440"/>
      <c r="E18" s="440"/>
      <c r="F18" s="440"/>
      <c r="G18" s="440"/>
      <c r="H18" s="440"/>
      <c r="I18" s="440"/>
    </row>
    <row r="19" spans="1:24" ht="14.25" customHeight="1">
      <c r="A19" s="440"/>
      <c r="B19" s="440"/>
      <c r="C19" s="440"/>
      <c r="D19" s="440"/>
      <c r="E19" s="440"/>
      <c r="F19" s="440"/>
      <c r="G19" s="440"/>
      <c r="H19" s="440"/>
      <c r="I19" s="440"/>
    </row>
    <row r="21" spans="1:24" ht="32.25" customHeight="1">
      <c r="I21" s="67"/>
    </row>
    <row r="22" spans="1:24" ht="16.7" customHeight="1">
      <c r="U22" t="s">
        <v>155</v>
      </c>
    </row>
    <row r="23" spans="1:24" ht="13.5" thickBot="1">
      <c r="U23" t="s">
        <v>156</v>
      </c>
    </row>
    <row r="24" spans="1:24" ht="20.100000000000001" customHeight="1">
      <c r="L24" s="161" t="s">
        <v>129</v>
      </c>
      <c r="M24" s="66"/>
      <c r="N24" s="161" t="s">
        <v>135</v>
      </c>
      <c r="P24" s="101" t="s">
        <v>140</v>
      </c>
      <c r="Q24" s="101"/>
      <c r="R24" s="101"/>
      <c r="U24" s="189" t="s">
        <v>150</v>
      </c>
      <c r="V24" s="190"/>
      <c r="W24" s="189"/>
      <c r="X24" s="191"/>
    </row>
    <row r="25" spans="1:24" ht="16.899999999999999" customHeight="1">
      <c r="L25" t="s">
        <v>138</v>
      </c>
      <c r="M25" s="47" t="s">
        <v>137</v>
      </c>
      <c r="N25" t="s">
        <v>134</v>
      </c>
      <c r="P25" s="101" t="s">
        <v>141</v>
      </c>
      <c r="Q25" s="101" t="s">
        <v>166</v>
      </c>
      <c r="R25" s="101"/>
      <c r="U25" s="192"/>
      <c r="V25" s="193" t="s">
        <v>10</v>
      </c>
      <c r="W25" s="193" t="s">
        <v>6</v>
      </c>
      <c r="X25" s="194" t="s">
        <v>151</v>
      </c>
    </row>
    <row r="26" spans="1:24" ht="15.75" customHeight="1" thickBot="1">
      <c r="L26" t="s">
        <v>139</v>
      </c>
      <c r="M26" s="47" t="s">
        <v>136</v>
      </c>
      <c r="N26" s="47" t="s">
        <v>130</v>
      </c>
      <c r="O26" t="s">
        <v>124</v>
      </c>
      <c r="P26" s="101" t="s">
        <v>142</v>
      </c>
      <c r="Q26" s="101" t="s">
        <v>167</v>
      </c>
      <c r="R26" s="101"/>
      <c r="U26" s="195" t="s">
        <v>152</v>
      </c>
      <c r="V26" s="196" t="s">
        <v>12</v>
      </c>
      <c r="W26" s="196" t="s">
        <v>13</v>
      </c>
      <c r="X26" s="197" t="s">
        <v>153</v>
      </c>
    </row>
    <row r="27" spans="1:24" ht="15.75" customHeight="1">
      <c r="L27" s="184">
        <v>0.5</v>
      </c>
      <c r="M27" s="185">
        <v>1</v>
      </c>
      <c r="N27" s="163">
        <f>M27/L27</f>
        <v>2</v>
      </c>
      <c r="O27" s="164">
        <f t="shared" ref="O27:O34" si="0">L27/(5*M27-L27)</f>
        <v>0.1111111111111111</v>
      </c>
      <c r="P27" s="165">
        <f t="shared" ref="P27:P34" si="1">1/(1-O27)</f>
        <v>1.125</v>
      </c>
      <c r="Q27" s="207">
        <f>1/P27</f>
        <v>0.88888888888888884</v>
      </c>
      <c r="R27" s="101"/>
      <c r="U27" s="198" t="s">
        <v>154</v>
      </c>
      <c r="V27" s="199">
        <v>0.81122222222222218</v>
      </c>
      <c r="W27" s="199">
        <v>2.3492777777777776</v>
      </c>
      <c r="X27" s="200">
        <v>1.4610555555555553</v>
      </c>
    </row>
    <row r="28" spans="1:24" ht="15.75" customHeight="1">
      <c r="L28" s="186">
        <v>0.5</v>
      </c>
      <c r="M28" s="47">
        <v>2</v>
      </c>
      <c r="N28" s="49">
        <f t="shared" ref="N28:N34" si="2">M28/L28</f>
        <v>4</v>
      </c>
      <c r="O28" s="159">
        <f t="shared" si="0"/>
        <v>5.2631578947368418E-2</v>
      </c>
      <c r="P28" s="166">
        <f t="shared" si="1"/>
        <v>1.0555555555555556</v>
      </c>
      <c r="Q28" s="209">
        <f t="shared" ref="Q28:Q42" si="3">1/P28</f>
        <v>0.94736842105263153</v>
      </c>
      <c r="R28" s="101"/>
      <c r="U28" s="195">
        <v>2</v>
      </c>
      <c r="V28" s="199">
        <v>1.167861111111111</v>
      </c>
      <c r="W28" s="199">
        <v>4.5346944444444439</v>
      </c>
      <c r="X28" s="200">
        <v>1.1860277777777777</v>
      </c>
    </row>
    <row r="29" spans="1:24" ht="15.75" customHeight="1">
      <c r="L29" s="186">
        <v>0.5</v>
      </c>
      <c r="M29" s="47">
        <v>3</v>
      </c>
      <c r="N29" s="49">
        <f t="shared" si="2"/>
        <v>6</v>
      </c>
      <c r="O29" s="159">
        <f t="shared" si="0"/>
        <v>3.4482758620689655E-2</v>
      </c>
      <c r="P29" s="166">
        <f t="shared" si="1"/>
        <v>1.0357142857142856</v>
      </c>
      <c r="Q29" s="209">
        <f t="shared" si="3"/>
        <v>0.9655172413793105</v>
      </c>
      <c r="R29" s="101"/>
      <c r="U29" s="195">
        <v>3</v>
      </c>
      <c r="V29" s="199">
        <v>1.5244999999999997</v>
      </c>
      <c r="W29" s="199">
        <v>6.7201111111111098</v>
      </c>
      <c r="X29" s="200">
        <v>0.91099999999999992</v>
      </c>
    </row>
    <row r="30" spans="1:24" ht="15.75" customHeight="1">
      <c r="L30" s="186">
        <v>0.5</v>
      </c>
      <c r="M30" s="47">
        <v>4</v>
      </c>
      <c r="N30" s="49">
        <f t="shared" si="2"/>
        <v>8</v>
      </c>
      <c r="O30" s="159">
        <f t="shared" si="0"/>
        <v>2.564102564102564E-2</v>
      </c>
      <c r="P30" s="166">
        <f t="shared" si="1"/>
        <v>1.0263157894736843</v>
      </c>
      <c r="Q30" s="209">
        <f t="shared" si="3"/>
        <v>0.97435897435897423</v>
      </c>
      <c r="R30" s="101"/>
      <c r="U30" s="195">
        <v>4</v>
      </c>
      <c r="V30" s="199">
        <v>3.0509722222222222</v>
      </c>
      <c r="W30" s="199">
        <v>16.665222222222219</v>
      </c>
      <c r="X30" s="200">
        <v>4.4458055555555562</v>
      </c>
    </row>
    <row r="31" spans="1:24" ht="15.75" customHeight="1">
      <c r="L31" s="186">
        <v>0.5</v>
      </c>
      <c r="M31" s="47">
        <v>5</v>
      </c>
      <c r="N31" s="49">
        <f t="shared" si="2"/>
        <v>10</v>
      </c>
      <c r="O31" s="159">
        <f t="shared" si="0"/>
        <v>2.0408163265306121E-2</v>
      </c>
      <c r="P31" s="166">
        <f t="shared" si="1"/>
        <v>1.0208333333333333</v>
      </c>
      <c r="Q31" s="209">
        <f t="shared" si="3"/>
        <v>0.97959183673469397</v>
      </c>
      <c r="R31" s="101"/>
      <c r="U31" s="195">
        <v>5</v>
      </c>
      <c r="V31" s="199">
        <v>4.5774444444444446</v>
      </c>
      <c r="W31" s="199">
        <v>26.61033333333333</v>
      </c>
      <c r="X31" s="200">
        <v>7.980611111111112</v>
      </c>
    </row>
    <row r="32" spans="1:24" ht="15.75" customHeight="1">
      <c r="L32" s="186">
        <v>0.5</v>
      </c>
      <c r="M32" s="47">
        <v>6</v>
      </c>
      <c r="N32" s="49">
        <f t="shared" si="2"/>
        <v>12</v>
      </c>
      <c r="O32" s="159">
        <f t="shared" si="0"/>
        <v>1.6949152542372881E-2</v>
      </c>
      <c r="P32" s="166">
        <f t="shared" si="1"/>
        <v>1.0172413793103448</v>
      </c>
      <c r="Q32" s="209">
        <f t="shared" si="3"/>
        <v>0.98305084745762716</v>
      </c>
      <c r="R32" s="101"/>
      <c r="U32" s="195">
        <v>6</v>
      </c>
      <c r="V32" s="199">
        <v>4.1849722222222221</v>
      </c>
      <c r="W32" s="199">
        <v>26.04911111111111</v>
      </c>
      <c r="X32" s="200">
        <v>8.2478888888888893</v>
      </c>
    </row>
    <row r="33" spans="12:24" ht="15.75" customHeight="1">
      <c r="L33" s="186">
        <v>0.5</v>
      </c>
      <c r="M33" s="47">
        <v>7</v>
      </c>
      <c r="N33" s="49">
        <f t="shared" si="2"/>
        <v>14</v>
      </c>
      <c r="O33" s="159">
        <f t="shared" si="0"/>
        <v>1.4492753623188406E-2</v>
      </c>
      <c r="P33" s="166">
        <f t="shared" si="1"/>
        <v>1.0147058823529411</v>
      </c>
      <c r="Q33" s="209">
        <f t="shared" si="3"/>
        <v>0.98550724637681164</v>
      </c>
      <c r="R33" s="101"/>
      <c r="U33" s="195">
        <v>7</v>
      </c>
      <c r="V33" s="199">
        <v>3.7925</v>
      </c>
      <c r="W33" s="199">
        <v>25.487888888888886</v>
      </c>
      <c r="X33" s="200">
        <v>8.5151666666666674</v>
      </c>
    </row>
    <row r="34" spans="12:24" ht="15.75" customHeight="1">
      <c r="L34" s="187">
        <v>0.5</v>
      </c>
      <c r="M34" s="188">
        <v>8</v>
      </c>
      <c r="N34" s="167">
        <f t="shared" si="2"/>
        <v>16</v>
      </c>
      <c r="O34" s="168">
        <f t="shared" si="0"/>
        <v>1.2658227848101266E-2</v>
      </c>
      <c r="P34" s="169">
        <f t="shared" si="1"/>
        <v>1.0128205128205128</v>
      </c>
      <c r="Q34" s="210">
        <f t="shared" si="3"/>
        <v>0.98734177215189878</v>
      </c>
      <c r="R34" s="101"/>
      <c r="U34" s="195">
        <v>8</v>
      </c>
      <c r="V34" s="199">
        <v>3.0648888888888886</v>
      </c>
      <c r="W34" s="199">
        <v>17.010388888888887</v>
      </c>
      <c r="X34" s="200">
        <v>6.8133055555555559</v>
      </c>
    </row>
    <row r="35" spans="12:24" ht="15.75" customHeight="1" thickBot="1">
      <c r="L35" s="170">
        <v>1</v>
      </c>
      <c r="M35" s="171">
        <v>1</v>
      </c>
      <c r="N35" s="172">
        <f>M35/L35</f>
        <v>1</v>
      </c>
      <c r="O35" s="173">
        <f t="shared" ref="O35:O42" si="4">L35/(5*M35-L35)</f>
        <v>0.25</v>
      </c>
      <c r="P35" s="174">
        <f t="shared" ref="P35:P42" si="5">1/(1-O35)</f>
        <v>1.3333333333333333</v>
      </c>
      <c r="Q35" s="211">
        <f t="shared" si="3"/>
        <v>0.75</v>
      </c>
      <c r="R35" s="101"/>
      <c r="U35" s="201">
        <v>9</v>
      </c>
      <c r="V35" s="202">
        <v>2.3372777777777776</v>
      </c>
      <c r="W35" s="202">
        <v>8.5328888888888894</v>
      </c>
      <c r="X35" s="203">
        <v>5.1114444444444445</v>
      </c>
    </row>
    <row r="36" spans="12:24" ht="15.75" customHeight="1">
      <c r="L36" s="175">
        <v>1</v>
      </c>
      <c r="M36" s="106">
        <v>2</v>
      </c>
      <c r="N36" s="176">
        <f t="shared" ref="N36:N42" si="6">M36/L36</f>
        <v>2</v>
      </c>
      <c r="O36" s="177">
        <f t="shared" si="4"/>
        <v>0.1111111111111111</v>
      </c>
      <c r="P36" s="178">
        <f t="shared" si="5"/>
        <v>1.125</v>
      </c>
      <c r="Q36" s="212">
        <f t="shared" si="3"/>
        <v>0.88888888888888884</v>
      </c>
      <c r="R36" s="101"/>
    </row>
    <row r="37" spans="12:24" ht="15.75" customHeight="1">
      <c r="L37" s="175">
        <v>1</v>
      </c>
      <c r="M37" s="106">
        <v>3</v>
      </c>
      <c r="N37" s="176">
        <f t="shared" si="6"/>
        <v>3</v>
      </c>
      <c r="O37" s="177">
        <f t="shared" si="4"/>
        <v>7.1428571428571425E-2</v>
      </c>
      <c r="P37" s="178">
        <f t="shared" si="5"/>
        <v>1.0769230769230769</v>
      </c>
      <c r="Q37" s="212">
        <f t="shared" si="3"/>
        <v>0.9285714285714286</v>
      </c>
      <c r="R37" s="101"/>
    </row>
    <row r="38" spans="12:24" ht="15.75">
      <c r="L38" s="175">
        <v>1</v>
      </c>
      <c r="M38" s="106">
        <v>4</v>
      </c>
      <c r="N38" s="176">
        <f t="shared" si="6"/>
        <v>4</v>
      </c>
      <c r="O38" s="177">
        <f t="shared" si="4"/>
        <v>5.2631578947368418E-2</v>
      </c>
      <c r="P38" s="178">
        <f t="shared" si="5"/>
        <v>1.0555555555555556</v>
      </c>
      <c r="Q38" s="212">
        <f t="shared" si="3"/>
        <v>0.94736842105263153</v>
      </c>
      <c r="R38" s="101"/>
    </row>
    <row r="39" spans="12:24" ht="15.75">
      <c r="L39" s="175">
        <v>1</v>
      </c>
      <c r="M39" s="106">
        <v>5</v>
      </c>
      <c r="N39" s="176">
        <f t="shared" si="6"/>
        <v>5</v>
      </c>
      <c r="O39" s="177">
        <f t="shared" si="4"/>
        <v>4.1666666666666664E-2</v>
      </c>
      <c r="P39" s="178">
        <f t="shared" si="5"/>
        <v>1.0434782608695652</v>
      </c>
      <c r="Q39" s="212">
        <f t="shared" si="3"/>
        <v>0.95833333333333337</v>
      </c>
      <c r="R39" s="101"/>
    </row>
    <row r="40" spans="12:24" ht="15.95" customHeight="1">
      <c r="L40" s="175">
        <v>1</v>
      </c>
      <c r="M40" s="106">
        <v>6</v>
      </c>
      <c r="N40" s="176">
        <f t="shared" si="6"/>
        <v>6</v>
      </c>
      <c r="O40" s="177">
        <f t="shared" si="4"/>
        <v>3.4482758620689655E-2</v>
      </c>
      <c r="P40" s="178">
        <f t="shared" si="5"/>
        <v>1.0357142857142856</v>
      </c>
      <c r="Q40" s="212">
        <f t="shared" si="3"/>
        <v>0.9655172413793105</v>
      </c>
      <c r="R40" s="101"/>
    </row>
    <row r="41" spans="12:24" ht="15.75">
      <c r="L41" s="175">
        <v>1</v>
      </c>
      <c r="M41" s="106">
        <v>7</v>
      </c>
      <c r="N41" s="176">
        <f t="shared" si="6"/>
        <v>7</v>
      </c>
      <c r="O41" s="177">
        <f t="shared" si="4"/>
        <v>2.9411764705882353E-2</v>
      </c>
      <c r="P41" s="178">
        <f t="shared" si="5"/>
        <v>1.0303030303030303</v>
      </c>
      <c r="Q41" s="212">
        <f t="shared" si="3"/>
        <v>0.97058823529411764</v>
      </c>
      <c r="R41" s="101"/>
    </row>
    <row r="42" spans="12:24" ht="15.75">
      <c r="L42" s="179">
        <v>1</v>
      </c>
      <c r="M42" s="180">
        <v>8</v>
      </c>
      <c r="N42" s="181">
        <f t="shared" si="6"/>
        <v>8</v>
      </c>
      <c r="O42" s="182">
        <f t="shared" si="4"/>
        <v>2.564102564102564E-2</v>
      </c>
      <c r="P42" s="183">
        <f t="shared" si="5"/>
        <v>1.0263157894736843</v>
      </c>
      <c r="Q42" s="213">
        <f t="shared" si="3"/>
        <v>0.97435897435897423</v>
      </c>
      <c r="R42" s="101"/>
    </row>
    <row r="43" spans="12:24">
      <c r="R43" s="101"/>
    </row>
    <row r="52" spans="1:22">
      <c r="A52" s="162"/>
      <c r="B52" s="162"/>
      <c r="C52" s="162"/>
      <c r="D52" s="162"/>
      <c r="E52" s="162"/>
      <c r="F52" s="162"/>
      <c r="G52" s="162"/>
      <c r="H52" s="162"/>
      <c r="I52" s="162"/>
      <c r="J52" s="162"/>
      <c r="K52" s="162"/>
      <c r="L52" s="162"/>
      <c r="M52" s="162"/>
      <c r="N52" s="162"/>
      <c r="O52" s="162"/>
      <c r="P52" s="162"/>
      <c r="Q52" s="162"/>
      <c r="R52" s="162"/>
      <c r="S52" s="162"/>
      <c r="T52" s="162"/>
      <c r="U52" s="162"/>
      <c r="V52" s="162"/>
    </row>
    <row r="58" spans="1:22" s="42" customFormat="1">
      <c r="A58"/>
      <c r="B58"/>
      <c r="C58"/>
      <c r="D58"/>
      <c r="E58"/>
      <c r="F58"/>
      <c r="G58"/>
      <c r="H58"/>
      <c r="I58"/>
      <c r="J58"/>
      <c r="K58"/>
      <c r="L58"/>
      <c r="M58"/>
      <c r="N58"/>
      <c r="O58"/>
      <c r="P58"/>
    </row>
    <row r="59" spans="1:22" s="42" customFormat="1">
      <c r="A59"/>
      <c r="B59"/>
      <c r="C59"/>
      <c r="D59"/>
      <c r="E59"/>
      <c r="F59"/>
      <c r="G59"/>
      <c r="H59"/>
      <c r="I59"/>
      <c r="J59"/>
      <c r="K59"/>
      <c r="L59"/>
      <c r="M59"/>
      <c r="N59"/>
      <c r="O59"/>
      <c r="P59"/>
    </row>
    <row r="60" spans="1:22" s="46" customFormat="1" ht="32.1" customHeight="1">
      <c r="A60" s="476" t="s">
        <v>145</v>
      </c>
      <c r="B60" s="477"/>
      <c r="C60" s="477"/>
      <c r="D60" s="477"/>
      <c r="E60" s="477"/>
      <c r="F60" s="477"/>
      <c r="G60" s="478"/>
      <c r="H60"/>
      <c r="I60"/>
      <c r="J60"/>
      <c r="K60"/>
      <c r="L60"/>
      <c r="M60"/>
      <c r="N60"/>
      <c r="O60"/>
      <c r="P60"/>
    </row>
    <row r="61" spans="1:22" s="47" customFormat="1" ht="24" customHeight="1">
      <c r="A61" s="479"/>
      <c r="B61" s="433"/>
      <c r="C61" s="433"/>
      <c r="D61" s="433"/>
      <c r="E61" s="433"/>
      <c r="F61" s="433"/>
      <c r="G61" s="446"/>
      <c r="H61"/>
      <c r="I61"/>
      <c r="J61"/>
      <c r="K61"/>
      <c r="Q61" s="46"/>
    </row>
    <row r="62" spans="1:22" s="47" customFormat="1" ht="15.75" customHeight="1" thickBot="1">
      <c r="A62" s="147" t="s">
        <v>51</v>
      </c>
      <c r="B62"/>
      <c r="C62"/>
      <c r="D62"/>
      <c r="E62"/>
      <c r="F62"/>
      <c r="G62" s="127"/>
      <c r="H62"/>
      <c r="I62"/>
      <c r="J62"/>
      <c r="K62"/>
    </row>
    <row r="63" spans="1:22" s="47" customFormat="1" ht="15.75" customHeight="1">
      <c r="A63" s="147" t="s">
        <v>132</v>
      </c>
      <c r="B63"/>
      <c r="C63"/>
      <c r="D63"/>
      <c r="E63"/>
      <c r="F63"/>
      <c r="G63" s="127"/>
      <c r="H63"/>
      <c r="I63"/>
      <c r="J63"/>
      <c r="K63"/>
      <c r="L63" s="161" t="s">
        <v>147</v>
      </c>
      <c r="O63" s="214" t="s">
        <v>161</v>
      </c>
      <c r="P63" s="215" t="s">
        <v>144</v>
      </c>
      <c r="Q63" s="206"/>
      <c r="R63" s="214" t="s">
        <v>161</v>
      </c>
      <c r="S63" s="215" t="s">
        <v>146</v>
      </c>
      <c r="T63" s="206"/>
    </row>
    <row r="64" spans="1:22" ht="15" customHeight="1">
      <c r="A64" s="147" t="s">
        <v>54</v>
      </c>
      <c r="G64" s="127"/>
      <c r="L64" s="161" t="s">
        <v>129</v>
      </c>
      <c r="M64" s="66"/>
      <c r="N64" s="47"/>
      <c r="O64" s="48" t="s">
        <v>162</v>
      </c>
      <c r="P64" s="101" t="s">
        <v>140</v>
      </c>
      <c r="Q64" s="216"/>
      <c r="R64" s="48" t="s">
        <v>162</v>
      </c>
      <c r="S64" s="101" t="s">
        <v>140</v>
      </c>
      <c r="T64" s="216"/>
    </row>
    <row r="65" spans="1:25" ht="14.65" customHeight="1">
      <c r="L65" t="s">
        <v>138</v>
      </c>
      <c r="M65" s="47" t="s">
        <v>137</v>
      </c>
      <c r="N65" t="s">
        <v>134</v>
      </c>
      <c r="O65" s="217" t="s">
        <v>168</v>
      </c>
      <c r="P65" s="101" t="s">
        <v>141</v>
      </c>
      <c r="Q65" s="218" t="s">
        <v>166</v>
      </c>
      <c r="R65" s="217" t="s">
        <v>168</v>
      </c>
      <c r="S65" s="101" t="s">
        <v>141</v>
      </c>
      <c r="T65" s="218" t="s">
        <v>166</v>
      </c>
    </row>
    <row r="66" spans="1:25" ht="14.65" customHeight="1">
      <c r="A66" s="42"/>
      <c r="C66" s="318" t="s">
        <v>220</v>
      </c>
      <c r="D66" s="42" t="s">
        <v>221</v>
      </c>
      <c r="E66" s="319"/>
      <c r="L66" t="s">
        <v>139</v>
      </c>
      <c r="M66" s="47" t="s">
        <v>136</v>
      </c>
      <c r="N66" s="47" t="s">
        <v>130</v>
      </c>
      <c r="O66" s="48" t="s">
        <v>160</v>
      </c>
      <c r="P66" s="101" t="s">
        <v>142</v>
      </c>
      <c r="Q66" s="218" t="s">
        <v>167</v>
      </c>
      <c r="R66" s="48" t="s">
        <v>163</v>
      </c>
      <c r="S66" s="101" t="s">
        <v>142</v>
      </c>
      <c r="T66" s="218" t="s">
        <v>167</v>
      </c>
    </row>
    <row r="67" spans="1:25" s="42" customFormat="1" ht="14.65" customHeight="1">
      <c r="A67" s="46"/>
      <c r="B67" s="320" t="s">
        <v>222</v>
      </c>
      <c r="C67" s="42" t="s">
        <v>218</v>
      </c>
      <c r="D67" s="42" t="s">
        <v>219</v>
      </c>
      <c r="E67" s="319"/>
      <c r="F67"/>
      <c r="G67"/>
      <c r="H67"/>
      <c r="I67"/>
      <c r="J67"/>
      <c r="K67"/>
      <c r="L67" s="184">
        <v>0.5</v>
      </c>
      <c r="M67" s="185">
        <v>1</v>
      </c>
      <c r="N67" s="163">
        <f>M67/L67</f>
        <v>2</v>
      </c>
      <c r="O67" s="219">
        <f t="shared" ref="O67:O82" si="7">0.1/1/N67</f>
        <v>0.05</v>
      </c>
      <c r="P67" s="165">
        <f t="shared" ref="P67:P82" si="8">1/(1-6*O67)</f>
        <v>1.4285714285714286</v>
      </c>
      <c r="Q67" s="220">
        <f t="shared" ref="Q67:Q82" si="9">1/P67</f>
        <v>0.7</v>
      </c>
      <c r="R67" s="219">
        <f t="shared" ref="R67:R82" si="10">0.15/1/N67</f>
        <v>7.4999999999999997E-2</v>
      </c>
      <c r="S67" s="165">
        <f t="shared" ref="S67:S82" si="11">1/(1-6*R67)</f>
        <v>1.8181818181818181</v>
      </c>
      <c r="T67" s="220">
        <f>1/S67</f>
        <v>0.55000000000000004</v>
      </c>
    </row>
    <row r="68" spans="1:25" s="42" customFormat="1" ht="14.65" customHeight="1">
      <c r="A68" s="155"/>
      <c r="B68" s="46">
        <v>0.1</v>
      </c>
      <c r="C68" s="321">
        <f>0.15/B68</f>
        <v>1.4999999999999998</v>
      </c>
      <c r="D68" s="321">
        <f>0.3/B68</f>
        <v>2.9999999999999996</v>
      </c>
      <c r="E68" s="319"/>
      <c r="F68"/>
      <c r="G68"/>
      <c r="H68"/>
      <c r="I68"/>
      <c r="J68"/>
      <c r="K68"/>
      <c r="L68" s="186">
        <v>0.5</v>
      </c>
      <c r="M68" s="47">
        <v>2</v>
      </c>
      <c r="N68" s="49">
        <f t="shared" ref="N68:N74" si="12">M68/L68</f>
        <v>4</v>
      </c>
      <c r="O68" s="221">
        <f t="shared" si="7"/>
        <v>2.5000000000000001E-2</v>
      </c>
      <c r="P68" s="166">
        <f t="shared" si="8"/>
        <v>1.1764705882352942</v>
      </c>
      <c r="Q68" s="222">
        <f t="shared" si="9"/>
        <v>0.85</v>
      </c>
      <c r="R68" s="221">
        <f t="shared" si="10"/>
        <v>3.7499999999999999E-2</v>
      </c>
      <c r="S68" s="166">
        <f t="shared" si="11"/>
        <v>1.2903225806451613</v>
      </c>
      <c r="T68" s="222">
        <f t="shared" ref="T68:T82" si="13">1/S68</f>
        <v>0.77500000000000002</v>
      </c>
    </row>
    <row r="69" spans="1:25" s="46" customFormat="1" ht="14.65" customHeight="1">
      <c r="A69" s="155"/>
      <c r="B69" s="46">
        <v>0.2</v>
      </c>
      <c r="C69" s="321">
        <f t="shared" ref="C69:C80" si="14">0.15/B69</f>
        <v>0.74999999999999989</v>
      </c>
      <c r="D69" s="321">
        <f>0.3/B69</f>
        <v>1.4999999999999998</v>
      </c>
      <c r="E69" s="319"/>
      <c r="F69"/>
      <c r="G69"/>
      <c r="H69"/>
      <c r="I69"/>
      <c r="J69"/>
      <c r="K69"/>
      <c r="L69" s="186">
        <v>0.5</v>
      </c>
      <c r="M69" s="47">
        <v>3</v>
      </c>
      <c r="N69" s="49">
        <f t="shared" si="12"/>
        <v>6</v>
      </c>
      <c r="O69" s="221">
        <f t="shared" si="7"/>
        <v>1.6666666666666666E-2</v>
      </c>
      <c r="P69" s="166">
        <f t="shared" si="8"/>
        <v>1.1111111111111112</v>
      </c>
      <c r="Q69" s="222">
        <f t="shared" si="9"/>
        <v>0.89999999999999991</v>
      </c>
      <c r="R69" s="221">
        <f t="shared" si="10"/>
        <v>2.4999999999999998E-2</v>
      </c>
      <c r="S69" s="166">
        <f t="shared" si="11"/>
        <v>1.1764705882352942</v>
      </c>
      <c r="T69" s="222">
        <f t="shared" si="13"/>
        <v>0.85</v>
      </c>
    </row>
    <row r="70" spans="1:25" s="47" customFormat="1" ht="14.65" customHeight="1">
      <c r="A70" s="155"/>
      <c r="B70" s="46">
        <v>0.3</v>
      </c>
      <c r="C70" s="321">
        <f t="shared" si="14"/>
        <v>0.5</v>
      </c>
      <c r="D70" s="321">
        <f>0.3/B70</f>
        <v>1</v>
      </c>
      <c r="E70" s="319"/>
      <c r="F70"/>
      <c r="G70"/>
      <c r="H70"/>
      <c r="I70"/>
      <c r="J70"/>
      <c r="K70"/>
      <c r="L70" s="186">
        <v>0.5</v>
      </c>
      <c r="M70" s="47">
        <v>4</v>
      </c>
      <c r="N70" s="49">
        <f t="shared" si="12"/>
        <v>8</v>
      </c>
      <c r="O70" s="221">
        <f t="shared" si="7"/>
        <v>1.2500000000000001E-2</v>
      </c>
      <c r="P70" s="166">
        <f t="shared" si="8"/>
        <v>1.0810810810810809</v>
      </c>
      <c r="Q70" s="222">
        <f t="shared" si="9"/>
        <v>0.92500000000000016</v>
      </c>
      <c r="R70" s="221">
        <f t="shared" si="10"/>
        <v>1.8749999999999999E-2</v>
      </c>
      <c r="S70" s="166">
        <f t="shared" si="11"/>
        <v>1.1267605633802817</v>
      </c>
      <c r="T70" s="222">
        <f t="shared" si="13"/>
        <v>0.88749999999999996</v>
      </c>
      <c r="V70" s="46"/>
      <c r="W70" s="46"/>
      <c r="X70" s="46"/>
      <c r="Y70" s="46"/>
    </row>
    <row r="71" spans="1:25" s="47" customFormat="1" ht="14.65" customHeight="1">
      <c r="A71" s="155"/>
      <c r="B71" s="155">
        <f>B70+0.2</f>
        <v>0.5</v>
      </c>
      <c r="C71" s="321">
        <f t="shared" si="14"/>
        <v>0.3</v>
      </c>
      <c r="D71" s="321">
        <f t="shared" ref="D71:D80" si="15">0.3/B71</f>
        <v>0.6</v>
      </c>
      <c r="E71" s="319"/>
      <c r="F71"/>
      <c r="G71"/>
      <c r="H71"/>
      <c r="I71"/>
      <c r="J71"/>
      <c r="K71"/>
      <c r="L71" s="186">
        <v>0.5</v>
      </c>
      <c r="M71" s="47">
        <v>5</v>
      </c>
      <c r="N71" s="49">
        <f t="shared" si="12"/>
        <v>10</v>
      </c>
      <c r="O71" s="221">
        <f t="shared" si="7"/>
        <v>0.01</v>
      </c>
      <c r="P71" s="166">
        <f t="shared" si="8"/>
        <v>1.0638297872340425</v>
      </c>
      <c r="Q71" s="222">
        <f t="shared" si="9"/>
        <v>0.94000000000000006</v>
      </c>
      <c r="R71" s="221">
        <f t="shared" si="10"/>
        <v>1.4999999999999999E-2</v>
      </c>
      <c r="S71" s="166">
        <f t="shared" si="11"/>
        <v>1.0989010989010988</v>
      </c>
      <c r="T71" s="222">
        <f t="shared" si="13"/>
        <v>0.91000000000000014</v>
      </c>
      <c r="V71" s="46"/>
      <c r="W71" s="46"/>
      <c r="X71" s="46"/>
      <c r="Y71" s="46"/>
    </row>
    <row r="72" spans="1:25" s="47" customFormat="1" ht="14.65" customHeight="1">
      <c r="A72" s="319"/>
      <c r="B72" s="155">
        <f t="shared" ref="B72:B80" si="16">B71+0.2</f>
        <v>0.7</v>
      </c>
      <c r="C72" s="321">
        <f t="shared" si="14"/>
        <v>0.2142857142857143</v>
      </c>
      <c r="D72" s="321">
        <f t="shared" si="15"/>
        <v>0.4285714285714286</v>
      </c>
      <c r="E72" s="319"/>
      <c r="F72"/>
      <c r="G72"/>
      <c r="H72"/>
      <c r="I72"/>
      <c r="J72"/>
      <c r="K72"/>
      <c r="L72" s="186">
        <v>0.5</v>
      </c>
      <c r="M72" s="47">
        <v>6</v>
      </c>
      <c r="N72" s="49">
        <f t="shared" si="12"/>
        <v>12</v>
      </c>
      <c r="O72" s="221">
        <f t="shared" si="7"/>
        <v>8.3333333333333332E-3</v>
      </c>
      <c r="P72" s="166">
        <f t="shared" si="8"/>
        <v>1.0526315789473684</v>
      </c>
      <c r="Q72" s="222">
        <f t="shared" si="9"/>
        <v>0.95000000000000007</v>
      </c>
      <c r="R72" s="221">
        <f t="shared" si="10"/>
        <v>1.2499999999999999E-2</v>
      </c>
      <c r="S72" s="166">
        <f t="shared" si="11"/>
        <v>1.0810810810810809</v>
      </c>
      <c r="T72" s="222">
        <f t="shared" si="13"/>
        <v>0.92500000000000016</v>
      </c>
      <c r="V72" s="46"/>
      <c r="W72" s="46"/>
      <c r="X72" s="46"/>
      <c r="Y72" s="46"/>
    </row>
    <row r="73" spans="1:25" ht="14.65" customHeight="1">
      <c r="A73" s="319"/>
      <c r="B73" s="155">
        <f t="shared" si="16"/>
        <v>0.89999999999999991</v>
      </c>
      <c r="C73" s="321">
        <f t="shared" si="14"/>
        <v>0.16666666666666669</v>
      </c>
      <c r="D73" s="321">
        <f t="shared" si="15"/>
        <v>0.33333333333333337</v>
      </c>
      <c r="E73" s="319"/>
      <c r="L73" s="186">
        <v>0.5</v>
      </c>
      <c r="M73" s="47">
        <v>7</v>
      </c>
      <c r="N73" s="49">
        <f t="shared" si="12"/>
        <v>14</v>
      </c>
      <c r="O73" s="221">
        <f t="shared" si="7"/>
        <v>7.1428571428571435E-3</v>
      </c>
      <c r="P73" s="166">
        <f t="shared" si="8"/>
        <v>1.044776119402985</v>
      </c>
      <c r="Q73" s="222">
        <f t="shared" si="9"/>
        <v>0.95714285714285718</v>
      </c>
      <c r="R73" s="221">
        <f t="shared" si="10"/>
        <v>1.0714285714285714E-2</v>
      </c>
      <c r="S73" s="166">
        <f t="shared" si="11"/>
        <v>1.0687022900763359</v>
      </c>
      <c r="T73" s="222">
        <f t="shared" si="13"/>
        <v>0.93571428571428572</v>
      </c>
      <c r="U73" s="46"/>
    </row>
    <row r="74" spans="1:25" ht="14.65" customHeight="1">
      <c r="A74" s="42"/>
      <c r="B74" s="155">
        <f t="shared" si="16"/>
        <v>1.0999999999999999</v>
      </c>
      <c r="C74" s="321">
        <f t="shared" si="14"/>
        <v>0.13636363636363638</v>
      </c>
      <c r="D74" s="321">
        <f t="shared" si="15"/>
        <v>0.27272727272727276</v>
      </c>
      <c r="E74" s="319"/>
      <c r="L74" s="187">
        <v>0.5</v>
      </c>
      <c r="M74" s="188">
        <v>8</v>
      </c>
      <c r="N74" s="167">
        <f t="shared" si="12"/>
        <v>16</v>
      </c>
      <c r="O74" s="223">
        <f t="shared" si="7"/>
        <v>6.2500000000000003E-3</v>
      </c>
      <c r="P74" s="169">
        <f t="shared" si="8"/>
        <v>1.0389610389610389</v>
      </c>
      <c r="Q74" s="224">
        <f t="shared" si="9"/>
        <v>0.96250000000000013</v>
      </c>
      <c r="R74" s="223">
        <f t="shared" si="10"/>
        <v>9.3749999999999997E-3</v>
      </c>
      <c r="S74" s="169">
        <f t="shared" si="11"/>
        <v>1.0596026490066226</v>
      </c>
      <c r="T74" s="224">
        <f t="shared" si="13"/>
        <v>0.94374999999999998</v>
      </c>
      <c r="U74" s="46"/>
    </row>
    <row r="75" spans="1:25" ht="14.65" customHeight="1">
      <c r="A75" s="42"/>
      <c r="B75" s="155">
        <f t="shared" si="16"/>
        <v>1.2999999999999998</v>
      </c>
      <c r="C75" s="321">
        <f t="shared" si="14"/>
        <v>0.11538461538461539</v>
      </c>
      <c r="D75" s="321">
        <f t="shared" si="15"/>
        <v>0.23076923076923078</v>
      </c>
      <c r="E75" s="319"/>
      <c r="L75" s="170">
        <v>1</v>
      </c>
      <c r="M75" s="185">
        <v>1</v>
      </c>
      <c r="N75" s="163">
        <f>M75/L75</f>
        <v>1</v>
      </c>
      <c r="O75" s="225">
        <f t="shared" si="7"/>
        <v>0.1</v>
      </c>
      <c r="P75" s="174">
        <f t="shared" si="8"/>
        <v>2.5000000000000004</v>
      </c>
      <c r="Q75" s="226">
        <f t="shared" si="9"/>
        <v>0.39999999999999991</v>
      </c>
      <c r="R75" s="225">
        <f t="shared" si="10"/>
        <v>0.15</v>
      </c>
      <c r="S75" s="174">
        <f t="shared" si="11"/>
        <v>9.9999999999999911</v>
      </c>
      <c r="T75" s="226">
        <f t="shared" si="13"/>
        <v>0.10000000000000009</v>
      </c>
    </row>
    <row r="76" spans="1:25" ht="14.65" customHeight="1">
      <c r="A76" s="46"/>
      <c r="B76" s="155">
        <f t="shared" si="16"/>
        <v>1.4999999999999998</v>
      </c>
      <c r="C76" s="321">
        <f t="shared" si="14"/>
        <v>0.1</v>
      </c>
      <c r="D76" s="321">
        <f t="shared" si="15"/>
        <v>0.2</v>
      </c>
      <c r="E76" s="319"/>
      <c r="L76" s="175">
        <v>1</v>
      </c>
      <c r="M76" s="47">
        <v>2</v>
      </c>
      <c r="N76" s="49">
        <f t="shared" ref="N76:N82" si="17">M76/L76</f>
        <v>2</v>
      </c>
      <c r="O76" s="227">
        <f t="shared" si="7"/>
        <v>0.05</v>
      </c>
      <c r="P76" s="178">
        <f t="shared" si="8"/>
        <v>1.4285714285714286</v>
      </c>
      <c r="Q76" s="228">
        <f t="shared" si="9"/>
        <v>0.7</v>
      </c>
      <c r="R76" s="227">
        <f t="shared" si="10"/>
        <v>7.4999999999999997E-2</v>
      </c>
      <c r="S76" s="178">
        <f t="shared" si="11"/>
        <v>1.8181818181818181</v>
      </c>
      <c r="T76" s="228">
        <f t="shared" si="13"/>
        <v>0.55000000000000004</v>
      </c>
    </row>
    <row r="77" spans="1:25" ht="14.65" customHeight="1">
      <c r="A77" s="46"/>
      <c r="B77" s="155">
        <f t="shared" si="16"/>
        <v>1.6999999999999997</v>
      </c>
      <c r="C77" s="321">
        <f t="shared" si="14"/>
        <v>8.8235294117647065E-2</v>
      </c>
      <c r="D77" s="321">
        <f t="shared" si="15"/>
        <v>0.17647058823529413</v>
      </c>
      <c r="E77" s="319"/>
      <c r="L77" s="175">
        <v>1</v>
      </c>
      <c r="M77" s="47">
        <v>3</v>
      </c>
      <c r="N77" s="49">
        <f t="shared" si="17"/>
        <v>3</v>
      </c>
      <c r="O77" s="227">
        <f t="shared" si="7"/>
        <v>3.3333333333333333E-2</v>
      </c>
      <c r="P77" s="178">
        <f t="shared" si="8"/>
        <v>1.25</v>
      </c>
      <c r="Q77" s="228">
        <f t="shared" si="9"/>
        <v>0.8</v>
      </c>
      <c r="R77" s="227">
        <f t="shared" si="10"/>
        <v>4.9999999999999996E-2</v>
      </c>
      <c r="S77" s="178">
        <f t="shared" si="11"/>
        <v>1.4285714285714286</v>
      </c>
      <c r="T77" s="228">
        <f t="shared" si="13"/>
        <v>0.7</v>
      </c>
    </row>
    <row r="78" spans="1:25" ht="14.65" customHeight="1">
      <c r="A78" s="46"/>
      <c r="B78" s="155">
        <f t="shared" si="16"/>
        <v>1.8999999999999997</v>
      </c>
      <c r="C78" s="321">
        <f t="shared" si="14"/>
        <v>7.8947368421052641E-2</v>
      </c>
      <c r="D78" s="321">
        <f t="shared" si="15"/>
        <v>0.15789473684210528</v>
      </c>
      <c r="E78" s="319"/>
      <c r="L78" s="175">
        <v>1</v>
      </c>
      <c r="M78" s="47">
        <v>4</v>
      </c>
      <c r="N78" s="49">
        <f t="shared" si="17"/>
        <v>4</v>
      </c>
      <c r="O78" s="227">
        <f t="shared" si="7"/>
        <v>2.5000000000000001E-2</v>
      </c>
      <c r="P78" s="178">
        <f t="shared" si="8"/>
        <v>1.1764705882352942</v>
      </c>
      <c r="Q78" s="228">
        <f t="shared" si="9"/>
        <v>0.85</v>
      </c>
      <c r="R78" s="227">
        <f t="shared" si="10"/>
        <v>3.7499999999999999E-2</v>
      </c>
      <c r="S78" s="178">
        <f t="shared" si="11"/>
        <v>1.2903225806451613</v>
      </c>
      <c r="T78" s="228">
        <f t="shared" si="13"/>
        <v>0.77500000000000002</v>
      </c>
    </row>
    <row r="79" spans="1:25" ht="14.65" customHeight="1">
      <c r="A79" s="46"/>
      <c r="B79" s="155">
        <f t="shared" si="16"/>
        <v>2.0999999999999996</v>
      </c>
      <c r="C79" s="321">
        <f t="shared" si="14"/>
        <v>7.1428571428571438E-2</v>
      </c>
      <c r="D79" s="321">
        <f t="shared" si="15"/>
        <v>0.14285714285714288</v>
      </c>
      <c r="E79" s="319"/>
      <c r="L79" s="175">
        <v>1</v>
      </c>
      <c r="M79" s="47">
        <v>5</v>
      </c>
      <c r="N79" s="49">
        <f t="shared" si="17"/>
        <v>5</v>
      </c>
      <c r="O79" s="227">
        <f t="shared" si="7"/>
        <v>0.02</v>
      </c>
      <c r="P79" s="178">
        <f t="shared" si="8"/>
        <v>1.1363636363636365</v>
      </c>
      <c r="Q79" s="228">
        <f t="shared" si="9"/>
        <v>0.87999999999999989</v>
      </c>
      <c r="R79" s="227">
        <f t="shared" si="10"/>
        <v>0.03</v>
      </c>
      <c r="S79" s="178">
        <f t="shared" si="11"/>
        <v>1.2195121951219512</v>
      </c>
      <c r="T79" s="228">
        <f t="shared" si="13"/>
        <v>0.82000000000000006</v>
      </c>
    </row>
    <row r="80" spans="1:25" ht="14.65" customHeight="1">
      <c r="A80" s="319"/>
      <c r="B80" s="155">
        <f t="shared" si="16"/>
        <v>2.2999999999999998</v>
      </c>
      <c r="C80" s="321">
        <f t="shared" si="14"/>
        <v>6.5217391304347824E-2</v>
      </c>
      <c r="D80" s="321">
        <f t="shared" si="15"/>
        <v>0.13043478260869565</v>
      </c>
      <c r="E80" s="319"/>
      <c r="L80" s="175">
        <v>1</v>
      </c>
      <c r="M80" s="47">
        <v>6</v>
      </c>
      <c r="N80" s="49">
        <f t="shared" si="17"/>
        <v>6</v>
      </c>
      <c r="O80" s="227">
        <f t="shared" si="7"/>
        <v>1.6666666666666666E-2</v>
      </c>
      <c r="P80" s="178">
        <f t="shared" si="8"/>
        <v>1.1111111111111112</v>
      </c>
      <c r="Q80" s="228">
        <f t="shared" si="9"/>
        <v>0.89999999999999991</v>
      </c>
      <c r="R80" s="227">
        <f t="shared" si="10"/>
        <v>2.4999999999999998E-2</v>
      </c>
      <c r="S80" s="178">
        <f t="shared" si="11"/>
        <v>1.1764705882352942</v>
      </c>
      <c r="T80" s="228">
        <f t="shared" si="13"/>
        <v>0.85</v>
      </c>
    </row>
    <row r="81" spans="1:22" ht="14.65" customHeight="1">
      <c r="A81" s="319"/>
      <c r="B81" s="319"/>
      <c r="C81" s="319"/>
      <c r="D81" s="319"/>
      <c r="E81" s="319"/>
      <c r="L81" s="175">
        <v>1</v>
      </c>
      <c r="M81" s="47">
        <v>7</v>
      </c>
      <c r="N81" s="49">
        <f t="shared" si="17"/>
        <v>7</v>
      </c>
      <c r="O81" s="227">
        <f t="shared" si="7"/>
        <v>1.4285714285714287E-2</v>
      </c>
      <c r="P81" s="178">
        <f t="shared" si="8"/>
        <v>1.09375</v>
      </c>
      <c r="Q81" s="228">
        <f t="shared" si="9"/>
        <v>0.91428571428571426</v>
      </c>
      <c r="R81" s="227">
        <f t="shared" si="10"/>
        <v>2.1428571428571429E-2</v>
      </c>
      <c r="S81" s="178">
        <f t="shared" si="11"/>
        <v>1.1475409836065573</v>
      </c>
      <c r="T81" s="228">
        <f t="shared" si="13"/>
        <v>0.87142857142857144</v>
      </c>
    </row>
    <row r="82" spans="1:22" ht="14.65" customHeight="1" thickBot="1">
      <c r="A82" s="319"/>
      <c r="B82" s="319"/>
      <c r="C82" s="319"/>
      <c r="D82" s="319"/>
      <c r="E82" s="319"/>
      <c r="L82" s="179">
        <v>1</v>
      </c>
      <c r="M82" s="188">
        <v>8</v>
      </c>
      <c r="N82" s="167">
        <f t="shared" si="17"/>
        <v>8</v>
      </c>
      <c r="O82" s="229">
        <f t="shared" si="7"/>
        <v>1.2500000000000001E-2</v>
      </c>
      <c r="P82" s="230">
        <f t="shared" si="8"/>
        <v>1.0810810810810809</v>
      </c>
      <c r="Q82" s="231">
        <f t="shared" si="9"/>
        <v>0.92500000000000016</v>
      </c>
      <c r="R82" s="229">
        <f t="shared" si="10"/>
        <v>1.8749999999999999E-2</v>
      </c>
      <c r="S82" s="230">
        <f t="shared" si="11"/>
        <v>1.1267605633802817</v>
      </c>
      <c r="T82" s="231">
        <f t="shared" si="13"/>
        <v>0.88749999999999996</v>
      </c>
    </row>
    <row r="83" spans="1:22" ht="14.65" customHeight="1">
      <c r="A83" s="319"/>
      <c r="B83" s="319"/>
      <c r="C83" s="319"/>
      <c r="D83" s="319"/>
      <c r="E83" s="319"/>
      <c r="L83" s="176"/>
      <c r="M83" s="47"/>
      <c r="N83" s="49"/>
      <c r="O83" s="177"/>
      <c r="P83" s="208"/>
      <c r="Q83" s="177"/>
      <c r="R83" s="208"/>
    </row>
    <row r="84" spans="1:22" ht="14.65" customHeight="1">
      <c r="L84" s="176"/>
      <c r="M84" s="47"/>
      <c r="N84" s="49"/>
      <c r="O84" s="177"/>
      <c r="P84" s="208"/>
      <c r="Q84" s="177"/>
      <c r="R84" s="208"/>
    </row>
    <row r="85" spans="1:22" ht="14.65" customHeight="1">
      <c r="L85" s="176"/>
      <c r="M85" s="47"/>
      <c r="N85" s="49"/>
      <c r="O85" s="177"/>
      <c r="P85" s="208"/>
      <c r="Q85" s="177"/>
      <c r="R85" s="208"/>
    </row>
    <row r="86" spans="1:22" ht="14.65" customHeight="1">
      <c r="L86" s="176"/>
      <c r="M86" s="47"/>
      <c r="N86" s="49"/>
      <c r="O86" s="177"/>
      <c r="P86" s="208"/>
      <c r="Q86" s="177"/>
      <c r="R86" s="208"/>
    </row>
    <row r="87" spans="1:22" ht="14.65" customHeight="1">
      <c r="L87" s="176"/>
      <c r="M87" s="47"/>
      <c r="N87" s="49"/>
      <c r="O87" s="177"/>
      <c r="P87" s="208"/>
      <c r="Q87" s="177"/>
      <c r="R87" s="208"/>
    </row>
    <row r="89" spans="1:22">
      <c r="A89" s="162"/>
      <c r="B89" s="162"/>
      <c r="C89" s="162"/>
      <c r="D89" s="162"/>
      <c r="E89" s="162"/>
      <c r="F89" s="162"/>
      <c r="G89" s="162"/>
      <c r="H89" s="162"/>
      <c r="I89" s="162"/>
      <c r="J89" s="162"/>
      <c r="K89" s="162"/>
      <c r="L89" s="162"/>
      <c r="M89" s="162"/>
      <c r="N89" s="162"/>
      <c r="O89" s="162"/>
      <c r="P89" s="162"/>
      <c r="Q89" s="162"/>
      <c r="R89" s="162"/>
      <c r="S89" s="162"/>
      <c r="T89" s="162"/>
      <c r="U89" s="162"/>
      <c r="V89" s="162"/>
    </row>
    <row r="95" spans="1:22" ht="62.25" customHeight="1"/>
    <row r="96" spans="1:22" ht="21" customHeight="1" thickBot="1">
      <c r="A96" s="236" t="s">
        <v>123</v>
      </c>
      <c r="B96" s="66"/>
      <c r="C96" s="66"/>
      <c r="D96" s="66"/>
      <c r="I96" s="67"/>
      <c r="N96" s="161" t="s">
        <v>129</v>
      </c>
      <c r="O96" s="66"/>
      <c r="Q96" s="161" t="s">
        <v>131</v>
      </c>
      <c r="R96" s="66"/>
      <c r="S96" s="148"/>
      <c r="T96" s="148"/>
    </row>
    <row r="97" spans="1:24" ht="16.7" customHeight="1">
      <c r="A97" s="155" t="s">
        <v>120</v>
      </c>
      <c r="B97" s="152" t="s">
        <v>119</v>
      </c>
      <c r="C97" s="66"/>
      <c r="D97" s="427" t="s">
        <v>126</v>
      </c>
      <c r="E97" s="427"/>
      <c r="I97" s="67"/>
      <c r="P97" s="47" t="s">
        <v>174</v>
      </c>
      <c r="Q97" s="233"/>
      <c r="R97" s="234" t="s">
        <v>140</v>
      </c>
      <c r="S97" s="235"/>
      <c r="T97" s="233"/>
      <c r="U97" s="234" t="s">
        <v>140</v>
      </c>
      <c r="V97" s="235"/>
      <c r="W97" s="160"/>
      <c r="X97" s="101"/>
    </row>
    <row r="98" spans="1:24" ht="22.15" customHeight="1">
      <c r="A98" s="155" t="s">
        <v>121</v>
      </c>
      <c r="B98" s="205" t="s">
        <v>169</v>
      </c>
      <c r="C98" s="433" t="s">
        <v>171</v>
      </c>
      <c r="D98" s="427"/>
      <c r="E98" s="427"/>
      <c r="I98" s="67"/>
      <c r="N98" t="s">
        <v>138</v>
      </c>
      <c r="O98" s="47" t="s">
        <v>137</v>
      </c>
      <c r="P98" t="s">
        <v>134</v>
      </c>
      <c r="Q98" s="475" t="s">
        <v>169</v>
      </c>
      <c r="R98" s="101" t="s">
        <v>141</v>
      </c>
      <c r="S98" s="218" t="s">
        <v>166</v>
      </c>
      <c r="T98" s="217" t="s">
        <v>170</v>
      </c>
      <c r="U98" s="101" t="s">
        <v>141</v>
      </c>
      <c r="V98" s="218" t="s">
        <v>166</v>
      </c>
      <c r="X98" s="101"/>
    </row>
    <row r="99" spans="1:24" ht="18.75" customHeight="1">
      <c r="A99" s="156" t="s">
        <v>122</v>
      </c>
      <c r="B99" s="205"/>
      <c r="C99" s="433"/>
      <c r="D99" t="s">
        <v>124</v>
      </c>
      <c r="E99" t="s">
        <v>125</v>
      </c>
      <c r="I99" s="67"/>
      <c r="N99" t="s">
        <v>139</v>
      </c>
      <c r="O99" s="47" t="s">
        <v>136</v>
      </c>
      <c r="P99" s="47" t="s">
        <v>130</v>
      </c>
      <c r="Q99" s="475"/>
      <c r="R99" s="101" t="s">
        <v>142</v>
      </c>
      <c r="S99" s="218" t="s">
        <v>167</v>
      </c>
      <c r="T99" s="217" t="s">
        <v>149</v>
      </c>
      <c r="U99" s="101" t="s">
        <v>142</v>
      </c>
      <c r="V99" s="218" t="s">
        <v>167</v>
      </c>
    </row>
    <row r="100" spans="1:24" ht="16.7" customHeight="1">
      <c r="A100" s="158">
        <v>5</v>
      </c>
      <c r="B100" s="51">
        <f t="shared" ref="B100:B110" si="18">0.3086*A100^-1.702</f>
        <v>1.9941093707738437E-2</v>
      </c>
      <c r="C100" s="159">
        <f t="shared" ref="C100:C110" si="19">0.1794*A100^-3.0417</f>
        <v>1.3420397409987666E-3</v>
      </c>
      <c r="D100" s="160">
        <f t="shared" ref="D100:D110" si="20">1/(1-B100)</f>
        <v>1.0203468317870599</v>
      </c>
      <c r="E100" s="160">
        <f t="shared" ref="E100:E110" si="21">1/(1-C100)</f>
        <v>1.0013438432320219</v>
      </c>
      <c r="I100" s="67"/>
      <c r="N100" s="184">
        <v>0.5</v>
      </c>
      <c r="O100" s="185">
        <v>1</v>
      </c>
      <c r="P100" s="163">
        <f>O100/N100</f>
        <v>2</v>
      </c>
      <c r="Q100" s="219">
        <f t="shared" ref="Q100:Q115" si="22">0.3086*P100^-1.702</f>
        <v>9.485120860869091E-2</v>
      </c>
      <c r="R100" s="165">
        <f t="shared" ref="R100:U115" si="23">1/(1-Q100)</f>
        <v>1.1047907366289409</v>
      </c>
      <c r="S100" s="220">
        <f>1/R100</f>
        <v>0.9051487913913091</v>
      </c>
      <c r="T100" s="219">
        <f>0.1794*P100^-3.0417</f>
        <v>2.1786100408752007E-2</v>
      </c>
      <c r="U100" s="165">
        <f t="shared" si="23"/>
        <v>1.022271305302302</v>
      </c>
      <c r="V100" s="220">
        <f>1/U100</f>
        <v>0.97821389959124794</v>
      </c>
      <c r="W100" s="164"/>
      <c r="X100" s="160"/>
    </row>
    <row r="101" spans="1:24" ht="16.7" customHeight="1">
      <c r="A101" s="158">
        <v>4</v>
      </c>
      <c r="B101" s="51">
        <f t="shared" si="18"/>
        <v>2.9153440617399225E-2</v>
      </c>
      <c r="C101" s="159">
        <f t="shared" si="19"/>
        <v>2.6456754237470688E-3</v>
      </c>
      <c r="D101" s="160">
        <f t="shared" si="20"/>
        <v>1.030028885961072</v>
      </c>
      <c r="E101" s="160">
        <f t="shared" si="21"/>
        <v>1.0026526935899849</v>
      </c>
      <c r="N101" s="186">
        <v>0.5</v>
      </c>
      <c r="O101" s="47">
        <v>2</v>
      </c>
      <c r="P101" s="49">
        <f t="shared" ref="P101:P107" si="24">O101/N101</f>
        <v>4</v>
      </c>
      <c r="Q101" s="221">
        <f t="shared" si="22"/>
        <v>2.9153440617399225E-2</v>
      </c>
      <c r="R101" s="166">
        <f t="shared" si="23"/>
        <v>1.030028885961072</v>
      </c>
      <c r="S101" s="222">
        <f t="shared" ref="S101:S115" si="25">1/R101</f>
        <v>0.97084655938260078</v>
      </c>
      <c r="T101" s="221">
        <f t="shared" ref="T101:T115" si="26">0.1794*P101^-3.0417</f>
        <v>2.6456754237470688E-3</v>
      </c>
      <c r="U101" s="166">
        <f t="shared" si="23"/>
        <v>1.0026526935899849</v>
      </c>
      <c r="V101" s="222">
        <f t="shared" ref="V101:V115" si="27">1/U101</f>
        <v>0.99735432457625284</v>
      </c>
      <c r="W101" s="159"/>
      <c r="X101" s="160"/>
    </row>
    <row r="102" spans="1:24" ht="16.7" customHeight="1">
      <c r="A102" s="158">
        <v>3</v>
      </c>
      <c r="B102" s="51">
        <f t="shared" si="18"/>
        <v>4.757026230987324E-2</v>
      </c>
      <c r="C102" s="159">
        <f t="shared" si="19"/>
        <v>6.3469155274414948E-3</v>
      </c>
      <c r="D102" s="160">
        <f t="shared" si="20"/>
        <v>1.0499462169516491</v>
      </c>
      <c r="E102" s="160">
        <f t="shared" si="21"/>
        <v>1.0063874561722017</v>
      </c>
      <c r="N102" s="186">
        <v>0.5</v>
      </c>
      <c r="O102" s="47">
        <v>3</v>
      </c>
      <c r="P102" s="49">
        <f t="shared" si="24"/>
        <v>6</v>
      </c>
      <c r="Q102" s="221">
        <f t="shared" si="22"/>
        <v>1.462118235231346E-2</v>
      </c>
      <c r="R102" s="166">
        <f t="shared" si="23"/>
        <v>1.0148381334066197</v>
      </c>
      <c r="S102" s="222">
        <f t="shared" si="25"/>
        <v>0.98537881764768653</v>
      </c>
      <c r="T102" s="221">
        <f t="shared" si="26"/>
        <v>7.7076108677094526E-4</v>
      </c>
      <c r="U102" s="166">
        <f t="shared" si="23"/>
        <v>1.0007713556176652</v>
      </c>
      <c r="V102" s="222">
        <f t="shared" si="27"/>
        <v>0.99922923891322901</v>
      </c>
      <c r="W102" s="159"/>
      <c r="X102" s="160"/>
    </row>
    <row r="103" spans="1:24" ht="15.75">
      <c r="A103" s="158">
        <v>2</v>
      </c>
      <c r="B103" s="51">
        <f t="shared" si="18"/>
        <v>9.485120860869091E-2</v>
      </c>
      <c r="C103" s="159">
        <f t="shared" si="19"/>
        <v>2.1786100408752007E-2</v>
      </c>
      <c r="D103" s="160">
        <f t="shared" si="20"/>
        <v>1.1047907366289409</v>
      </c>
      <c r="E103" s="160">
        <f t="shared" si="21"/>
        <v>1.022271305302302</v>
      </c>
      <c r="J103" s="153"/>
      <c r="N103" s="186">
        <v>0.5</v>
      </c>
      <c r="O103" s="47">
        <v>4</v>
      </c>
      <c r="P103" s="49">
        <f t="shared" si="24"/>
        <v>8</v>
      </c>
      <c r="Q103" s="221">
        <f t="shared" si="22"/>
        <v>8.9605932523072473E-3</v>
      </c>
      <c r="R103" s="166">
        <f t="shared" si="23"/>
        <v>1.0090416114548999</v>
      </c>
      <c r="S103" s="222">
        <f t="shared" si="25"/>
        <v>0.99103940674769286</v>
      </c>
      <c r="T103" s="221">
        <f t="shared" si="26"/>
        <v>3.2128734911215809E-4</v>
      </c>
      <c r="U103" s="166">
        <f t="shared" si="23"/>
        <v>1.0003213906078485</v>
      </c>
      <c r="V103" s="222">
        <f t="shared" si="27"/>
        <v>0.99967871265088792</v>
      </c>
      <c r="W103" s="159"/>
      <c r="X103" s="160"/>
    </row>
    <row r="104" spans="1:24" ht="15.75">
      <c r="A104" s="158">
        <v>1.5</v>
      </c>
      <c r="B104" s="51">
        <f t="shared" si="18"/>
        <v>0.15477064725015835</v>
      </c>
      <c r="C104" s="159">
        <f t="shared" si="19"/>
        <v>5.226436233469238E-2</v>
      </c>
      <c r="D104" s="160">
        <f t="shared" si="20"/>
        <v>1.1831108287314356</v>
      </c>
      <c r="E104" s="160">
        <f t="shared" si="21"/>
        <v>1.0551465622453986</v>
      </c>
      <c r="N104" s="186">
        <v>0.5</v>
      </c>
      <c r="O104" s="47">
        <v>5</v>
      </c>
      <c r="P104" s="49">
        <f t="shared" si="24"/>
        <v>10</v>
      </c>
      <c r="Q104" s="221">
        <f t="shared" si="22"/>
        <v>6.1290889149648465E-3</v>
      </c>
      <c r="R104" s="166">
        <f t="shared" si="23"/>
        <v>1.0061668863094841</v>
      </c>
      <c r="S104" s="222">
        <f t="shared" si="25"/>
        <v>0.99387091108503511</v>
      </c>
      <c r="T104" s="221">
        <f t="shared" si="26"/>
        <v>1.629755437566034E-4</v>
      </c>
      <c r="U104" s="166">
        <f t="shared" si="23"/>
        <v>1.0001630021091139</v>
      </c>
      <c r="V104" s="222">
        <f t="shared" si="27"/>
        <v>0.99983702445624345</v>
      </c>
      <c r="W104" s="159"/>
      <c r="X104" s="160"/>
    </row>
    <row r="105" spans="1:24" ht="15.75">
      <c r="A105" s="158">
        <v>1.2</v>
      </c>
      <c r="B105" s="51">
        <f t="shared" si="18"/>
        <v>0.22627128381493675</v>
      </c>
      <c r="C105" s="159">
        <f t="shared" si="19"/>
        <v>0.10303311797890688</v>
      </c>
      <c r="D105" s="160">
        <f t="shared" si="20"/>
        <v>1.2924426599164975</v>
      </c>
      <c r="E105" s="160">
        <f t="shared" si="21"/>
        <v>1.114868363642086</v>
      </c>
      <c r="N105" s="186">
        <v>0.5</v>
      </c>
      <c r="O105" s="47">
        <v>6</v>
      </c>
      <c r="P105" s="49">
        <f t="shared" si="24"/>
        <v>12</v>
      </c>
      <c r="Q105" s="221">
        <f t="shared" si="22"/>
        <v>4.49396246728773E-3</v>
      </c>
      <c r="R105" s="166">
        <f t="shared" si="23"/>
        <v>1.0045142493343644</v>
      </c>
      <c r="S105" s="222">
        <f t="shared" si="25"/>
        <v>0.99550603753271216</v>
      </c>
      <c r="T105" s="221">
        <f t="shared" si="26"/>
        <v>9.360021420039364E-5</v>
      </c>
      <c r="U105" s="166">
        <f t="shared" si="23"/>
        <v>1.0000936089760206</v>
      </c>
      <c r="V105" s="222">
        <f t="shared" si="27"/>
        <v>0.99990639978579954</v>
      </c>
      <c r="W105" s="159"/>
      <c r="X105" s="160"/>
    </row>
    <row r="106" spans="1:24" ht="15.75">
      <c r="A106" s="158">
        <v>1</v>
      </c>
      <c r="B106" s="51">
        <f t="shared" si="18"/>
        <v>0.30859999999999999</v>
      </c>
      <c r="C106" s="159">
        <f t="shared" si="19"/>
        <v>0.1794</v>
      </c>
      <c r="D106" s="160">
        <f t="shared" si="20"/>
        <v>1.4463407578825571</v>
      </c>
      <c r="E106" s="160">
        <f t="shared" si="21"/>
        <v>1.2186205215695833</v>
      </c>
      <c r="N106" s="186">
        <v>0.5</v>
      </c>
      <c r="O106" s="47">
        <v>7</v>
      </c>
      <c r="P106" s="49">
        <f t="shared" si="24"/>
        <v>14</v>
      </c>
      <c r="Q106" s="221">
        <f t="shared" si="22"/>
        <v>3.4568935398133654E-3</v>
      </c>
      <c r="R106" s="166">
        <f t="shared" si="23"/>
        <v>1.0034688851063278</v>
      </c>
      <c r="S106" s="222">
        <f t="shared" si="25"/>
        <v>0.99654310646018662</v>
      </c>
      <c r="T106" s="221">
        <f t="shared" si="26"/>
        <v>5.8565896086158311E-5</v>
      </c>
      <c r="U106" s="166">
        <f t="shared" si="23"/>
        <v>1.0000585693262511</v>
      </c>
      <c r="V106" s="222">
        <f t="shared" si="27"/>
        <v>0.9999414341039139</v>
      </c>
      <c r="W106" s="159"/>
      <c r="X106" s="160"/>
    </row>
    <row r="107" spans="1:24" ht="15.75">
      <c r="A107" s="158">
        <v>0.9</v>
      </c>
      <c r="B107" s="51">
        <f t="shared" si="18"/>
        <v>0.36921145828133667</v>
      </c>
      <c r="C107" s="159">
        <f t="shared" si="19"/>
        <v>0.24717412063149349</v>
      </c>
      <c r="D107" s="160">
        <f t="shared" si="20"/>
        <v>1.5853173192958978</v>
      </c>
      <c r="E107" s="160">
        <f t="shared" si="21"/>
        <v>1.3283284055521984</v>
      </c>
      <c r="N107" s="187">
        <v>0.5</v>
      </c>
      <c r="O107" s="188">
        <v>8</v>
      </c>
      <c r="P107" s="167">
        <f t="shared" si="24"/>
        <v>16</v>
      </c>
      <c r="Q107" s="223">
        <f t="shared" si="22"/>
        <v>2.7541254045114162E-3</v>
      </c>
      <c r="R107" s="169">
        <f t="shared" si="23"/>
        <v>1.0027617315595601</v>
      </c>
      <c r="S107" s="224">
        <f t="shared" si="25"/>
        <v>0.99724587459548852</v>
      </c>
      <c r="T107" s="223">
        <f t="shared" si="26"/>
        <v>3.9016713755960044E-5</v>
      </c>
      <c r="U107" s="169">
        <f t="shared" si="23"/>
        <v>1.0000390182361194</v>
      </c>
      <c r="V107" s="224">
        <f t="shared" si="27"/>
        <v>0.99996098328624394</v>
      </c>
      <c r="W107" s="168"/>
    </row>
    <row r="108" spans="1:24" ht="15.75">
      <c r="A108" s="158">
        <v>0.8</v>
      </c>
      <c r="B108" s="51">
        <f t="shared" si="18"/>
        <v>0.45116641576374894</v>
      </c>
      <c r="C108" s="159">
        <f t="shared" si="19"/>
        <v>0.35366625631145154</v>
      </c>
      <c r="D108" s="160">
        <f t="shared" si="20"/>
        <v>1.8220459329062118</v>
      </c>
      <c r="E108" s="160">
        <f t="shared" si="21"/>
        <v>1.5471882905155485</v>
      </c>
      <c r="N108" s="170">
        <v>1</v>
      </c>
      <c r="O108" s="171">
        <v>1</v>
      </c>
      <c r="P108" s="172">
        <f>O108/N108</f>
        <v>1</v>
      </c>
      <c r="Q108" s="225">
        <f t="shared" si="22"/>
        <v>0.30859999999999999</v>
      </c>
      <c r="R108" s="174">
        <f t="shared" si="23"/>
        <v>1.4463407578825571</v>
      </c>
      <c r="S108" s="226">
        <f t="shared" si="25"/>
        <v>0.69140000000000001</v>
      </c>
      <c r="T108" s="225">
        <f t="shared" si="26"/>
        <v>0.1794</v>
      </c>
      <c r="U108" s="174">
        <f t="shared" si="23"/>
        <v>1.2186205215695833</v>
      </c>
      <c r="V108" s="226">
        <f t="shared" si="27"/>
        <v>0.82059999999999989</v>
      </c>
      <c r="X108" s="160"/>
    </row>
    <row r="109" spans="1:24" ht="15.75">
      <c r="A109" s="158">
        <v>0.7</v>
      </c>
      <c r="B109" s="51">
        <f t="shared" si="18"/>
        <v>0.56629021520940337</v>
      </c>
      <c r="C109" s="159">
        <f t="shared" si="19"/>
        <v>0.53086944599871921</v>
      </c>
      <c r="D109" s="160">
        <f t="shared" si="20"/>
        <v>2.3056892767194981</v>
      </c>
      <c r="E109" s="160">
        <f t="shared" si="21"/>
        <v>2.1316027947249623</v>
      </c>
      <c r="N109" s="175">
        <v>1</v>
      </c>
      <c r="O109" s="106">
        <v>2</v>
      </c>
      <c r="P109" s="176">
        <f t="shared" ref="P109:P115" si="28">O109/N109</f>
        <v>2</v>
      </c>
      <c r="Q109" s="227">
        <f t="shared" si="22"/>
        <v>9.485120860869091E-2</v>
      </c>
      <c r="R109" s="178">
        <f t="shared" si="23"/>
        <v>1.1047907366289409</v>
      </c>
      <c r="S109" s="228">
        <f t="shared" si="25"/>
        <v>0.9051487913913091</v>
      </c>
      <c r="T109" s="227">
        <f t="shared" si="26"/>
        <v>2.1786100408752007E-2</v>
      </c>
      <c r="U109" s="178">
        <f t="shared" si="23"/>
        <v>1.022271305302302</v>
      </c>
      <c r="V109" s="228">
        <f t="shared" si="27"/>
        <v>0.97821389959124794</v>
      </c>
      <c r="X109" s="160"/>
    </row>
    <row r="110" spans="1:24" ht="13.7" customHeight="1">
      <c r="A110" s="158">
        <v>0.65</v>
      </c>
      <c r="B110" s="51">
        <f t="shared" si="18"/>
        <v>0.64241753807151791</v>
      </c>
      <c r="C110" s="159">
        <f t="shared" si="19"/>
        <v>0.66509530455206667</v>
      </c>
      <c r="D110" s="160">
        <f t="shared" si="20"/>
        <v>2.7965577355413029</v>
      </c>
      <c r="E110" s="160">
        <f t="shared" si="21"/>
        <v>2.9859240959954447</v>
      </c>
      <c r="N110" s="175">
        <v>1</v>
      </c>
      <c r="O110" s="106">
        <v>3</v>
      </c>
      <c r="P110" s="176">
        <f t="shared" si="28"/>
        <v>3</v>
      </c>
      <c r="Q110" s="227">
        <f t="shared" si="22"/>
        <v>4.757026230987324E-2</v>
      </c>
      <c r="R110" s="178">
        <f t="shared" si="23"/>
        <v>1.0499462169516491</v>
      </c>
      <c r="S110" s="228">
        <f t="shared" si="25"/>
        <v>0.95242973769012662</v>
      </c>
      <c r="T110" s="227">
        <f t="shared" si="26"/>
        <v>6.3469155274414948E-3</v>
      </c>
      <c r="U110" s="178">
        <f t="shared" si="23"/>
        <v>1.0063874561722017</v>
      </c>
      <c r="V110" s="228">
        <f t="shared" si="27"/>
        <v>0.99365308447255851</v>
      </c>
      <c r="X110" s="160"/>
    </row>
    <row r="111" spans="1:24" ht="14.45" customHeight="1">
      <c r="A111" s="232"/>
      <c r="B111" s="51"/>
      <c r="C111" s="159"/>
      <c r="D111" s="160"/>
      <c r="E111" s="160"/>
      <c r="N111" s="175">
        <v>1</v>
      </c>
      <c r="O111" s="106">
        <v>4</v>
      </c>
      <c r="P111" s="176">
        <f t="shared" si="28"/>
        <v>4</v>
      </c>
      <c r="Q111" s="227">
        <f t="shared" si="22"/>
        <v>2.9153440617399225E-2</v>
      </c>
      <c r="R111" s="178">
        <f t="shared" si="23"/>
        <v>1.030028885961072</v>
      </c>
      <c r="S111" s="228">
        <f t="shared" si="25"/>
        <v>0.97084655938260078</v>
      </c>
      <c r="T111" s="227">
        <f t="shared" si="26"/>
        <v>2.6456754237470688E-3</v>
      </c>
      <c r="U111" s="178">
        <f t="shared" si="23"/>
        <v>1.0026526935899849</v>
      </c>
      <c r="V111" s="228">
        <f t="shared" si="27"/>
        <v>0.99735432457625284</v>
      </c>
    </row>
    <row r="112" spans="1:24" ht="14.45" customHeight="1">
      <c r="N112" s="175">
        <v>1</v>
      </c>
      <c r="O112" s="106">
        <v>5</v>
      </c>
      <c r="P112" s="176">
        <f t="shared" si="28"/>
        <v>5</v>
      </c>
      <c r="Q112" s="227">
        <f t="shared" si="22"/>
        <v>1.9941093707738437E-2</v>
      </c>
      <c r="R112" s="178">
        <f t="shared" si="23"/>
        <v>1.0203468317870599</v>
      </c>
      <c r="S112" s="228">
        <f t="shared" si="25"/>
        <v>0.98005890629226144</v>
      </c>
      <c r="T112" s="227">
        <f t="shared" si="26"/>
        <v>1.3420397409987666E-3</v>
      </c>
      <c r="U112" s="178">
        <f t="shared" si="23"/>
        <v>1.0013438432320219</v>
      </c>
      <c r="V112" s="228">
        <f t="shared" si="27"/>
        <v>0.99865796025900122</v>
      </c>
    </row>
    <row r="113" spans="1:22" ht="16.7" customHeight="1">
      <c r="N113" s="175">
        <v>1</v>
      </c>
      <c r="O113" s="106">
        <v>6</v>
      </c>
      <c r="P113" s="176">
        <f t="shared" si="28"/>
        <v>6</v>
      </c>
      <c r="Q113" s="227">
        <f t="shared" si="22"/>
        <v>1.462118235231346E-2</v>
      </c>
      <c r="R113" s="178">
        <f t="shared" si="23"/>
        <v>1.0148381334066197</v>
      </c>
      <c r="S113" s="228">
        <f t="shared" si="25"/>
        <v>0.98537881764768653</v>
      </c>
      <c r="T113" s="227">
        <f t="shared" si="26"/>
        <v>7.7076108677094526E-4</v>
      </c>
      <c r="U113" s="178">
        <f t="shared" si="23"/>
        <v>1.0007713556176652</v>
      </c>
      <c r="V113" s="228">
        <f t="shared" si="27"/>
        <v>0.99922923891322901</v>
      </c>
    </row>
    <row r="114" spans="1:22" ht="16.7" customHeight="1">
      <c r="N114" s="175">
        <v>1</v>
      </c>
      <c r="O114" s="106">
        <v>7</v>
      </c>
      <c r="P114" s="176">
        <f t="shared" si="28"/>
        <v>7</v>
      </c>
      <c r="Q114" s="227">
        <f t="shared" si="22"/>
        <v>1.1247061181766081E-2</v>
      </c>
      <c r="R114" s="178">
        <f t="shared" si="23"/>
        <v>1.0113749964629271</v>
      </c>
      <c r="S114" s="228">
        <f t="shared" si="25"/>
        <v>0.9887529388182339</v>
      </c>
      <c r="T114" s="227">
        <f t="shared" si="26"/>
        <v>4.8226720526983356E-4</v>
      </c>
      <c r="U114" s="178">
        <f t="shared" si="23"/>
        <v>1.0004824998991477</v>
      </c>
      <c r="V114" s="228">
        <f t="shared" si="27"/>
        <v>0.99951773279473022</v>
      </c>
    </row>
    <row r="115" spans="1:22" ht="16.7" customHeight="1" thickBot="1">
      <c r="I115" s="67"/>
      <c r="N115" s="179">
        <v>1</v>
      </c>
      <c r="O115" s="180">
        <v>8</v>
      </c>
      <c r="P115" s="181">
        <f t="shared" si="28"/>
        <v>8</v>
      </c>
      <c r="Q115" s="229">
        <f t="shared" si="22"/>
        <v>8.9605932523072473E-3</v>
      </c>
      <c r="R115" s="230">
        <f t="shared" si="23"/>
        <v>1.0090416114548999</v>
      </c>
      <c r="S115" s="231">
        <f t="shared" si="25"/>
        <v>0.99103940674769286</v>
      </c>
      <c r="T115" s="229">
        <f t="shared" si="26"/>
        <v>3.2128734911215809E-4</v>
      </c>
      <c r="U115" s="230">
        <f t="shared" si="23"/>
        <v>1.0003213906078485</v>
      </c>
      <c r="V115" s="231">
        <f t="shared" si="27"/>
        <v>0.99967871265088792</v>
      </c>
    </row>
    <row r="116" spans="1:22" ht="40.9" customHeight="1" thickBot="1">
      <c r="I116" s="67"/>
      <c r="N116" s="148" t="s">
        <v>226</v>
      </c>
      <c r="O116" s="148" t="s">
        <v>56</v>
      </c>
      <c r="P116" s="148" t="s">
        <v>224</v>
      </c>
      <c r="Q116" s="148" t="s">
        <v>225</v>
      </c>
      <c r="R116" s="319" t="s">
        <v>223</v>
      </c>
    </row>
    <row r="117" spans="1:22" ht="13.15" customHeight="1">
      <c r="I117" s="67"/>
      <c r="N117" s="324">
        <v>1.5</v>
      </c>
      <c r="O117" s="234">
        <v>1.1200000000000001</v>
      </c>
      <c r="P117" s="325">
        <f>N117/O117</f>
        <v>1.3392857142857142</v>
      </c>
      <c r="Q117" s="326">
        <f>0.179*(N117/O117)^-3.042</f>
        <v>7.360454729160551E-2</v>
      </c>
      <c r="R117" s="322">
        <f>Q117*4</f>
        <v>0.29441818916642204</v>
      </c>
    </row>
    <row r="118" spans="1:22" ht="16.5" thickBot="1">
      <c r="N118" s="327">
        <v>2</v>
      </c>
      <c r="O118" s="311">
        <v>1.1200000000000001</v>
      </c>
      <c r="P118" s="328">
        <f>N118/O118</f>
        <v>1.7857142857142856</v>
      </c>
      <c r="Q118" s="329">
        <f>0.179*(N118/O118)^-3.042</f>
        <v>3.0678986557618155E-2</v>
      </c>
      <c r="R118" s="323">
        <f>Q118*4</f>
        <v>0.12271594623047262</v>
      </c>
    </row>
    <row r="119" spans="1:22">
      <c r="A119" t="s">
        <v>173</v>
      </c>
    </row>
    <row r="120" spans="1:22">
      <c r="A120" s="443" t="s">
        <v>172</v>
      </c>
      <c r="B120" s="440"/>
      <c r="C120" s="440"/>
      <c r="D120" s="440"/>
      <c r="E120" s="440"/>
      <c r="F120" s="440"/>
      <c r="G120" s="440"/>
      <c r="H120" s="440"/>
      <c r="I120" s="440"/>
    </row>
    <row r="121" spans="1:22">
      <c r="A121" s="440"/>
      <c r="B121" s="440"/>
      <c r="C121" s="440"/>
      <c r="D121" s="440"/>
      <c r="E121" s="440"/>
      <c r="F121" s="440"/>
      <c r="G121" s="440"/>
      <c r="H121" s="440"/>
      <c r="I121" s="440"/>
    </row>
    <row r="122" spans="1:22" ht="14.65" customHeight="1"/>
    <row r="123" spans="1:22">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row>
    <row r="126" spans="1:22" s="42" customFormat="1">
      <c r="A126"/>
      <c r="B126"/>
      <c r="C126"/>
      <c r="D126"/>
      <c r="E126"/>
      <c r="F126"/>
      <c r="G126"/>
      <c r="H126"/>
      <c r="I126"/>
      <c r="J126"/>
      <c r="K126"/>
      <c r="L126"/>
      <c r="M126"/>
      <c r="N126"/>
      <c r="O126"/>
      <c r="P126"/>
    </row>
    <row r="127" spans="1:22" s="42" customFormat="1">
      <c r="A127"/>
      <c r="B127"/>
      <c r="C127"/>
      <c r="D127"/>
      <c r="E127"/>
      <c r="F127"/>
      <c r="G127"/>
      <c r="H127"/>
      <c r="I127"/>
      <c r="J127"/>
      <c r="K127"/>
      <c r="L127"/>
      <c r="M127"/>
      <c r="N127"/>
      <c r="O127"/>
      <c r="P127"/>
    </row>
    <row r="128" spans="1:22" s="46" customFormat="1" ht="15.75" customHeight="1">
      <c r="A128"/>
      <c r="B128"/>
      <c r="C128"/>
      <c r="D128"/>
      <c r="E128"/>
      <c r="F128"/>
      <c r="G128"/>
      <c r="H128"/>
      <c r="I128"/>
      <c r="J128"/>
      <c r="K128"/>
      <c r="L128"/>
      <c r="M128"/>
      <c r="N128"/>
      <c r="O128"/>
      <c r="P128"/>
    </row>
    <row r="129" spans="1:22" s="47" customFormat="1" ht="24" customHeight="1">
      <c r="A129"/>
      <c r="B129"/>
      <c r="C129"/>
      <c r="D129"/>
      <c r="E129"/>
      <c r="F129"/>
      <c r="G129"/>
      <c r="H129"/>
      <c r="I129"/>
      <c r="J129"/>
      <c r="K129"/>
      <c r="Q129" s="46"/>
    </row>
    <row r="132" spans="1:22" ht="18">
      <c r="L132" s="161" t="s">
        <v>129</v>
      </c>
      <c r="M132" s="66"/>
      <c r="N132" s="161" t="s">
        <v>148</v>
      </c>
      <c r="P132" s="101" t="s">
        <v>140</v>
      </c>
      <c r="R132" s="63" t="s">
        <v>157</v>
      </c>
      <c r="S132" s="101">
        <v>3</v>
      </c>
      <c r="T132" s="41"/>
      <c r="U132" s="63" t="s">
        <v>158</v>
      </c>
      <c r="V132" s="41">
        <f>0.2*S132</f>
        <v>0.60000000000000009</v>
      </c>
    </row>
    <row r="133" spans="1:22">
      <c r="L133" t="s">
        <v>138</v>
      </c>
      <c r="M133" s="47" t="s">
        <v>137</v>
      </c>
      <c r="N133" t="s">
        <v>134</v>
      </c>
      <c r="P133" s="101" t="s">
        <v>141</v>
      </c>
      <c r="Q133" s="41" t="s">
        <v>159</v>
      </c>
    </row>
    <row r="134" spans="1:22" ht="15.75">
      <c r="L134" t="s">
        <v>139</v>
      </c>
      <c r="M134" s="47" t="s">
        <v>136</v>
      </c>
      <c r="N134" s="47" t="s">
        <v>130</v>
      </c>
      <c r="O134" t="s">
        <v>143</v>
      </c>
      <c r="P134" s="101" t="s">
        <v>142</v>
      </c>
      <c r="Q134">
        <v>0.02</v>
      </c>
      <c r="R134">
        <f>Q134+0.02</f>
        <v>0.04</v>
      </c>
      <c r="S134">
        <f>R134+0.02</f>
        <v>0.06</v>
      </c>
      <c r="T134">
        <f>S134+0.02</f>
        <v>0.08</v>
      </c>
      <c r="U134">
        <f>T134+0.02</f>
        <v>0.1</v>
      </c>
      <c r="V134">
        <v>0.15</v>
      </c>
    </row>
    <row r="135" spans="1:22" ht="15.75">
      <c r="L135" s="184">
        <v>0.5</v>
      </c>
      <c r="M135" s="185">
        <v>1</v>
      </c>
      <c r="N135" s="163">
        <f>M135/L135</f>
        <v>2</v>
      </c>
      <c r="O135" s="159">
        <f t="shared" ref="O135:O150" si="29">0.1/1/N135</f>
        <v>0.05</v>
      </c>
      <c r="P135" s="165">
        <f t="shared" ref="P135:P150" si="30">1/(1-O135)</f>
        <v>1.0526315789473684</v>
      </c>
      <c r="Q135" s="151">
        <f t="shared" ref="Q135:V135" si="31">1/Q$134+$V$132/($S$132*Q$134)*LN(Q$134+(1-Q$134)*2.718^(-$S$132/$V$132))</f>
        <v>13.734044841217774</v>
      </c>
      <c r="R135" s="151">
        <f t="shared" si="31"/>
        <v>9.655450199858608</v>
      </c>
      <c r="S135" s="151">
        <f t="shared" si="31"/>
        <v>7.6233061554793284</v>
      </c>
      <c r="T135" s="151">
        <f t="shared" si="31"/>
        <v>6.3723488967788109</v>
      </c>
      <c r="U135" s="151">
        <f t="shared" si="31"/>
        <v>5.5126369801976711</v>
      </c>
      <c r="V135" s="151">
        <f t="shared" si="31"/>
        <v>4.1871598711611284</v>
      </c>
    </row>
    <row r="136" spans="1:22" ht="15.75">
      <c r="L136" s="186">
        <v>0.5</v>
      </c>
      <c r="M136" s="47">
        <v>2</v>
      </c>
      <c r="N136" s="49">
        <f t="shared" ref="N136:N142" si="32">M136/L136</f>
        <v>4</v>
      </c>
      <c r="O136" s="159">
        <f t="shared" si="29"/>
        <v>2.5000000000000001E-2</v>
      </c>
      <c r="P136" s="166">
        <f t="shared" si="30"/>
        <v>1.0256410256410258</v>
      </c>
      <c r="Q136" s="151">
        <f>1/Q$134+0.2/Q$134*LN(Q$134+(1-Q$134)*2.718^-5)</f>
        <v>13.734044841217781</v>
      </c>
      <c r="R136" s="151">
        <f>1/R$134+0.2/R$134*LN(R$134+(1-R$134)*2.718^-5)</f>
        <v>9.6554501998586097</v>
      </c>
      <c r="S136" s="151">
        <f>1/S$134+0.2/S$134*LN(S$134+(1-S$134)*2.718^-5)</f>
        <v>7.6233061554793302</v>
      </c>
      <c r="T136" s="151">
        <f>1/T$134+0.2/T$134*LN(T$134+(1-T$134)*2.718^-5)</f>
        <v>6.3723488967788118</v>
      </c>
      <c r="U136" s="151">
        <f>1/U$134+0.2/U$134*LN(U$134+(1-U$134)*2.718^-5)</f>
        <v>5.5126369801976711</v>
      </c>
    </row>
    <row r="137" spans="1:22" ht="15.75">
      <c r="L137" s="186">
        <v>0.5</v>
      </c>
      <c r="M137" s="47">
        <v>3</v>
      </c>
      <c r="N137" s="49">
        <f t="shared" si="32"/>
        <v>6</v>
      </c>
      <c r="O137" s="159">
        <f t="shared" si="29"/>
        <v>1.6666666666666666E-2</v>
      </c>
      <c r="P137" s="166">
        <f t="shared" si="30"/>
        <v>1.0169491525423728</v>
      </c>
      <c r="Q137" s="204">
        <f>$V$132/($S$132*Q$134)</f>
        <v>10.000000000000002</v>
      </c>
      <c r="R137">
        <f>1.2/(0.02*6)</f>
        <v>10</v>
      </c>
    </row>
    <row r="138" spans="1:22" ht="15.75">
      <c r="L138" s="186">
        <v>0.5</v>
      </c>
      <c r="M138" s="47">
        <v>4</v>
      </c>
      <c r="N138" s="49">
        <f t="shared" si="32"/>
        <v>8</v>
      </c>
      <c r="O138" s="159">
        <f t="shared" si="29"/>
        <v>1.2500000000000001E-2</v>
      </c>
      <c r="P138" s="166">
        <f t="shared" si="30"/>
        <v>1.0126582278481011</v>
      </c>
      <c r="Q138">
        <f>2.718^(-$S$132/$V$132)</f>
        <v>6.7414410003044439E-3</v>
      </c>
      <c r="S138">
        <f>2.718^(-$S$132/$V$132)</f>
        <v>6.7414410003044439E-3</v>
      </c>
    </row>
    <row r="139" spans="1:22" ht="15.75">
      <c r="L139" s="186">
        <v>0.5</v>
      </c>
      <c r="M139" s="47">
        <v>5</v>
      </c>
      <c r="N139" s="49">
        <f t="shared" si="32"/>
        <v>10</v>
      </c>
      <c r="O139" s="159">
        <f t="shared" si="29"/>
        <v>0.01</v>
      </c>
      <c r="P139" s="166">
        <f t="shared" si="30"/>
        <v>1.0101010101010102</v>
      </c>
      <c r="Q139">
        <f>(1-Q$134)</f>
        <v>0.98</v>
      </c>
    </row>
    <row r="140" spans="1:22" ht="15.75">
      <c r="L140" s="186">
        <v>0.5</v>
      </c>
      <c r="M140" s="47">
        <v>6</v>
      </c>
      <c r="N140" s="49">
        <f t="shared" si="32"/>
        <v>12</v>
      </c>
      <c r="O140" s="159">
        <f t="shared" si="29"/>
        <v>8.3333333333333332E-3</v>
      </c>
      <c r="P140" s="166">
        <f t="shared" si="30"/>
        <v>1.0084033613445378</v>
      </c>
      <c r="Q140">
        <f>Q$134</f>
        <v>0.02</v>
      </c>
    </row>
    <row r="141" spans="1:22" ht="15.75">
      <c r="L141" s="186">
        <v>0.5</v>
      </c>
      <c r="M141" s="47">
        <v>7</v>
      </c>
      <c r="N141" s="49">
        <f t="shared" si="32"/>
        <v>14</v>
      </c>
      <c r="O141" s="159">
        <f t="shared" si="29"/>
        <v>7.1428571428571435E-3</v>
      </c>
      <c r="P141" s="166">
        <f t="shared" si="30"/>
        <v>1.0071942446043165</v>
      </c>
      <c r="Q141">
        <f>LN(Q$134+(1-Q$134)*2.718^(-$S$132/$V$132))</f>
        <v>-3.6265955158782219</v>
      </c>
    </row>
    <row r="142" spans="1:22" ht="15.75">
      <c r="L142" s="187">
        <v>0.5</v>
      </c>
      <c r="M142" s="188">
        <v>8</v>
      </c>
      <c r="N142" s="167">
        <f t="shared" si="32"/>
        <v>16</v>
      </c>
      <c r="O142" s="168">
        <f t="shared" si="29"/>
        <v>6.2500000000000003E-3</v>
      </c>
      <c r="P142" s="169">
        <f t="shared" si="30"/>
        <v>1.0062893081761006</v>
      </c>
      <c r="T142">
        <f>EXP(1)</f>
        <v>2.7182818284590451</v>
      </c>
    </row>
    <row r="143" spans="1:22" ht="15.75">
      <c r="L143" s="170">
        <v>1</v>
      </c>
      <c r="M143" s="171">
        <v>1</v>
      </c>
      <c r="N143" s="172">
        <f>M143/L143</f>
        <v>1</v>
      </c>
      <c r="O143" s="173">
        <f t="shared" si="29"/>
        <v>0.1</v>
      </c>
      <c r="P143" s="174">
        <f t="shared" si="30"/>
        <v>1.1111111111111112</v>
      </c>
    </row>
    <row r="144" spans="1:22" ht="15.75">
      <c r="L144" s="175">
        <v>1</v>
      </c>
      <c r="M144" s="106">
        <v>2</v>
      </c>
      <c r="N144" s="176">
        <f t="shared" ref="N144:N150" si="33">M144/L144</f>
        <v>2</v>
      </c>
      <c r="O144" s="177">
        <f t="shared" si="29"/>
        <v>0.05</v>
      </c>
      <c r="P144" s="178">
        <f t="shared" si="30"/>
        <v>1.0526315789473684</v>
      </c>
    </row>
    <row r="145" spans="12:16" ht="15.75">
      <c r="L145" s="175">
        <v>1</v>
      </c>
      <c r="M145" s="106">
        <v>3</v>
      </c>
      <c r="N145" s="176">
        <f t="shared" si="33"/>
        <v>3</v>
      </c>
      <c r="O145" s="177">
        <f t="shared" si="29"/>
        <v>3.3333333333333333E-2</v>
      </c>
      <c r="P145" s="178">
        <f t="shared" si="30"/>
        <v>1.0344827586206897</v>
      </c>
    </row>
    <row r="146" spans="12:16" ht="15.75">
      <c r="L146" s="175">
        <v>1</v>
      </c>
      <c r="M146" s="106">
        <v>4</v>
      </c>
      <c r="N146" s="176">
        <f t="shared" si="33"/>
        <v>4</v>
      </c>
      <c r="O146" s="177">
        <f t="shared" si="29"/>
        <v>2.5000000000000001E-2</v>
      </c>
      <c r="P146" s="178">
        <f t="shared" si="30"/>
        <v>1.0256410256410258</v>
      </c>
    </row>
    <row r="147" spans="12:16" ht="15.75">
      <c r="L147" s="175">
        <v>1</v>
      </c>
      <c r="M147" s="106">
        <v>5</v>
      </c>
      <c r="N147" s="176">
        <f t="shared" si="33"/>
        <v>5</v>
      </c>
      <c r="O147" s="177">
        <f t="shared" si="29"/>
        <v>0.02</v>
      </c>
      <c r="P147" s="178">
        <f t="shared" si="30"/>
        <v>1.0204081632653061</v>
      </c>
    </row>
    <row r="148" spans="12:16" ht="15.75">
      <c r="L148" s="175">
        <v>1</v>
      </c>
      <c r="M148" s="106">
        <v>6</v>
      </c>
      <c r="N148" s="176">
        <f t="shared" si="33"/>
        <v>6</v>
      </c>
      <c r="O148" s="177">
        <f t="shared" si="29"/>
        <v>1.6666666666666666E-2</v>
      </c>
      <c r="P148" s="178">
        <f t="shared" si="30"/>
        <v>1.0169491525423728</v>
      </c>
    </row>
    <row r="149" spans="12:16" ht="15.75">
      <c r="L149" s="175">
        <v>1</v>
      </c>
      <c r="M149" s="106">
        <v>7</v>
      </c>
      <c r="N149" s="176">
        <f t="shared" si="33"/>
        <v>7</v>
      </c>
      <c r="O149" s="177">
        <f t="shared" si="29"/>
        <v>1.4285714285714287E-2</v>
      </c>
      <c r="P149" s="178">
        <f t="shared" si="30"/>
        <v>1.0144927536231882</v>
      </c>
    </row>
    <row r="150" spans="12:16" ht="15.75">
      <c r="L150" s="179">
        <v>1</v>
      </c>
      <c r="M150" s="180">
        <v>8</v>
      </c>
      <c r="N150" s="181">
        <f t="shared" si="33"/>
        <v>8</v>
      </c>
      <c r="O150" s="182">
        <f t="shared" si="29"/>
        <v>1.2500000000000001E-2</v>
      </c>
      <c r="P150" s="183">
        <f t="shared" si="30"/>
        <v>1.0126582278481011</v>
      </c>
    </row>
  </sheetData>
  <mergeCells count="6">
    <mergeCell ref="Q98:Q99"/>
    <mergeCell ref="A120:I121"/>
    <mergeCell ref="A18:I19"/>
    <mergeCell ref="D97:E98"/>
    <mergeCell ref="A60:G61"/>
    <mergeCell ref="C98:C99"/>
  </mergeCells>
  <phoneticPr fontId="14" type="noConversion"/>
  <hyperlinks>
    <hyperlink ref="A18" r:id="rId1" display="http://www.fao.org/DOCREP/003/T0234E/T0234E00.htm" xr:uid="{00000000-0004-0000-0700-000000000000}"/>
    <hyperlink ref="A120" r:id="rId2" display="http://www.fao.org/DOCREP/003/T0234E/T0234E00.htm" xr:uid="{00000000-0004-0000-0700-000001000000}"/>
  </hyperlinks>
  <printOptions horizontalCentered="1" verticalCentered="1"/>
  <pageMargins left="0.3" right="0.19" top="0.34" bottom="0.35" header="0.5" footer="0.5"/>
  <pageSetup orientation="portrait" horizontalDpi="200" verticalDpi="200" r:id="rId3"/>
  <headerFooter alignWithMargins="0"/>
  <drawing r:id="rId4"/>
  <legacyDrawing r:id="rId5"/>
  <oleObjects>
    <mc:AlternateContent xmlns:mc="http://schemas.openxmlformats.org/markup-compatibility/2006">
      <mc:Choice Requires="x14">
        <oleObject progId="Equation.3" shapeId="10266" r:id="rId6">
          <objectPr defaultSize="0" autoPict="0" r:id="rId7">
            <anchor moveWithCells="1">
              <from>
                <xdr:col>16</xdr:col>
                <xdr:colOff>47625</xdr:colOff>
                <xdr:row>127</xdr:row>
                <xdr:rowOff>180975</xdr:rowOff>
              </from>
              <to>
                <xdr:col>20</xdr:col>
                <xdr:colOff>85725</xdr:colOff>
                <xdr:row>130</xdr:row>
                <xdr:rowOff>66675</xdr:rowOff>
              </to>
            </anchor>
          </objectPr>
        </oleObject>
      </mc:Choice>
      <mc:Fallback>
        <oleObject progId="Equation.3" shapeId="10266" r:id="rId6"/>
      </mc:Fallback>
    </mc:AlternateContent>
    <mc:AlternateContent xmlns:mc="http://schemas.openxmlformats.org/markup-compatibility/2006">
      <mc:Choice Requires="x14">
        <oleObject progId="Equation.3" shapeId="10268" r:id="rId8">
          <objectPr defaultSize="0" autoPict="0" r:id="rId9">
            <anchor moveWithCells="1">
              <from>
                <xdr:col>6</xdr:col>
                <xdr:colOff>409575</xdr:colOff>
                <xdr:row>39</xdr:row>
                <xdr:rowOff>180975</xdr:rowOff>
              </from>
              <to>
                <xdr:col>10</xdr:col>
                <xdr:colOff>285750</xdr:colOff>
                <xdr:row>44</xdr:row>
                <xdr:rowOff>66675</xdr:rowOff>
              </to>
            </anchor>
          </objectPr>
        </oleObject>
      </mc:Choice>
      <mc:Fallback>
        <oleObject progId="Equation.3" shapeId="10268" r:id="rId8"/>
      </mc:Fallback>
    </mc:AlternateContent>
    <mc:AlternateContent xmlns:mc="http://schemas.openxmlformats.org/markup-compatibility/2006">
      <mc:Choice Requires="x14">
        <oleObject progId="Equation.3" shapeId="10270" r:id="rId10">
          <objectPr defaultSize="0" autoPict="0" r:id="rId11">
            <anchor moveWithCells="1">
              <from>
                <xdr:col>6</xdr:col>
                <xdr:colOff>381000</xdr:colOff>
                <xdr:row>77</xdr:row>
                <xdr:rowOff>133350</xdr:rowOff>
              </from>
              <to>
                <xdr:col>11</xdr:col>
                <xdr:colOff>333375</xdr:colOff>
                <xdr:row>87</xdr:row>
                <xdr:rowOff>66675</xdr:rowOff>
              </to>
            </anchor>
          </objectPr>
        </oleObject>
      </mc:Choice>
      <mc:Fallback>
        <oleObject progId="Equation.3" shapeId="10270" r:id="rId10"/>
      </mc:Fallback>
    </mc:AlternateContent>
    <mc:AlternateContent xmlns:mc="http://schemas.openxmlformats.org/markup-compatibility/2006">
      <mc:Choice Requires="x14">
        <oleObject progId="Equation.3" shapeId="10272" r:id="rId12">
          <objectPr defaultSize="0" autoPict="0" r:id="rId13">
            <anchor moveWithCells="1">
              <from>
                <xdr:col>6</xdr:col>
                <xdr:colOff>95250</xdr:colOff>
                <xdr:row>44</xdr:row>
                <xdr:rowOff>104775</xdr:rowOff>
              </from>
              <to>
                <xdr:col>10</xdr:col>
                <xdr:colOff>457200</xdr:colOff>
                <xdr:row>46</xdr:row>
                <xdr:rowOff>161925</xdr:rowOff>
              </to>
            </anchor>
          </objectPr>
        </oleObject>
      </mc:Choice>
      <mc:Fallback>
        <oleObject progId="Equation.3" shapeId="10272" r:id="rId12"/>
      </mc:Fallback>
    </mc:AlternateContent>
    <mc:AlternateContent xmlns:mc="http://schemas.openxmlformats.org/markup-compatibility/2006">
      <mc:Choice Requires="x14">
        <oleObject progId="Equation.3" shapeId="10273" r:id="rId14">
          <objectPr defaultSize="0" autoPict="0" r:id="rId15">
            <anchor moveWithCells="1">
              <from>
                <xdr:col>0</xdr:col>
                <xdr:colOff>95250</xdr:colOff>
                <xdr:row>76</xdr:row>
                <xdr:rowOff>152400</xdr:rowOff>
              </from>
              <to>
                <xdr:col>6</xdr:col>
                <xdr:colOff>171450</xdr:colOff>
                <xdr:row>79</xdr:row>
                <xdr:rowOff>38100</xdr:rowOff>
              </to>
            </anchor>
          </objectPr>
        </oleObject>
      </mc:Choice>
      <mc:Fallback>
        <oleObject progId="Equation.3" shapeId="10273" r:id="rId14"/>
      </mc:Fallback>
    </mc:AlternateContent>
    <mc:AlternateContent xmlns:mc="http://schemas.openxmlformats.org/markup-compatibility/2006">
      <mc:Choice Requires="x14">
        <oleObject progId="Equation.3" shapeId="10284" r:id="rId16">
          <objectPr defaultSize="0" autoPict="0" r:id="rId17">
            <anchor moveWithCells="1">
              <from>
                <xdr:col>0</xdr:col>
                <xdr:colOff>66675</xdr:colOff>
                <xdr:row>110</xdr:row>
                <xdr:rowOff>76200</xdr:rowOff>
              </from>
              <to>
                <xdr:col>5</xdr:col>
                <xdr:colOff>571500</xdr:colOff>
                <xdr:row>115</xdr:row>
                <xdr:rowOff>390525</xdr:rowOff>
              </to>
            </anchor>
          </objectPr>
        </oleObject>
      </mc:Choice>
      <mc:Fallback>
        <oleObject progId="Equation.3" shapeId="10284" r:id="rId16"/>
      </mc:Fallback>
    </mc:AlternateContent>
    <mc:AlternateContent xmlns:mc="http://schemas.openxmlformats.org/markup-compatibility/2006">
      <mc:Choice Requires="x14">
        <oleObject progId="Equation.3" shapeId="10285" r:id="rId18">
          <objectPr defaultSize="0" autoPict="0" r:id="rId13">
            <anchor moveWithCells="1">
              <from>
                <xdr:col>7</xdr:col>
                <xdr:colOff>228600</xdr:colOff>
                <xdr:row>114</xdr:row>
                <xdr:rowOff>123825</xdr:rowOff>
              </from>
              <to>
                <xdr:col>11</xdr:col>
                <xdr:colOff>590550</xdr:colOff>
                <xdr:row>115</xdr:row>
                <xdr:rowOff>285750</xdr:rowOff>
              </to>
            </anchor>
          </objectPr>
        </oleObject>
      </mc:Choice>
      <mc:Fallback>
        <oleObject progId="Equation.3" shapeId="10285" r:id="rId18"/>
      </mc:Fallback>
    </mc:AlternateContent>
    <mc:AlternateContent xmlns:mc="http://schemas.openxmlformats.org/markup-compatibility/2006">
      <mc:Choice Requires="x14">
        <oleObject progId="Equation.3" shapeId="10277" r:id="rId19">
          <objectPr defaultSize="0" autoPict="0" r:id="rId20">
            <anchor moveWithCells="1" sizeWithCells="1">
              <from>
                <xdr:col>2</xdr:col>
                <xdr:colOff>266700</xdr:colOff>
                <xdr:row>3</xdr:row>
                <xdr:rowOff>47625</xdr:rowOff>
              </from>
              <to>
                <xdr:col>4</xdr:col>
                <xdr:colOff>476250</xdr:colOff>
                <xdr:row>7</xdr:row>
                <xdr:rowOff>104775</xdr:rowOff>
              </to>
            </anchor>
          </objectPr>
        </oleObject>
      </mc:Choice>
      <mc:Fallback>
        <oleObject progId="Equation.3" shapeId="10277" r:id="rId19"/>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42:M159"/>
  <sheetViews>
    <sheetView topLeftCell="A13" workbookViewId="0">
      <selection activeCell="O99" sqref="O99"/>
    </sheetView>
  </sheetViews>
  <sheetFormatPr defaultRowHeight="12.75"/>
  <sheetData>
    <row r="142" spans="13:13">
      <c r="M142" s="41"/>
    </row>
    <row r="158" spans="1:2" ht="15.75">
      <c r="A158" s="40"/>
    </row>
    <row r="159" spans="1:2" ht="15.75">
      <c r="A159" s="40"/>
      <c r="B159" s="40"/>
    </row>
  </sheetData>
  <phoneticPr fontId="0" type="noConversion"/>
  <pageMargins left="0.75" right="0.75" top="1" bottom="1" header="0.5" footer="0.5"/>
  <headerFooter alignWithMargins="0"/>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U44"/>
  <sheetViews>
    <sheetView workbookViewId="0">
      <selection activeCell="S25" sqref="S25"/>
    </sheetView>
  </sheetViews>
  <sheetFormatPr defaultRowHeight="12.75"/>
  <cols>
    <col min="1" max="1" width="3.85546875" customWidth="1"/>
    <col min="3" max="15" width="7.5703125" customWidth="1"/>
    <col min="16" max="16" width="7.85546875" customWidth="1"/>
    <col min="17" max="17" width="8" customWidth="1"/>
  </cols>
  <sheetData>
    <row r="2" spans="2:19">
      <c r="B2" s="41" t="s">
        <v>83</v>
      </c>
    </row>
    <row r="3" spans="2:19" ht="33.75" customHeight="1" thickBot="1">
      <c r="B3" s="94" t="s">
        <v>64</v>
      </c>
      <c r="C3" s="94" t="s">
        <v>0</v>
      </c>
      <c r="D3" s="94" t="s">
        <v>78</v>
      </c>
      <c r="E3" s="94" t="s">
        <v>74</v>
      </c>
      <c r="F3" s="94" t="s">
        <v>75</v>
      </c>
      <c r="G3" s="94" t="s">
        <v>76</v>
      </c>
      <c r="H3" s="94" t="s">
        <v>77</v>
      </c>
      <c r="I3" s="94" t="s">
        <v>73</v>
      </c>
      <c r="J3" s="94" t="s">
        <v>14</v>
      </c>
      <c r="K3" s="94" t="s">
        <v>91</v>
      </c>
      <c r="L3" s="94" t="s">
        <v>92</v>
      </c>
      <c r="M3" s="94" t="s">
        <v>93</v>
      </c>
      <c r="N3" s="94" t="s">
        <v>94</v>
      </c>
      <c r="O3" s="94" t="s">
        <v>79</v>
      </c>
    </row>
    <row r="4" spans="2:19" ht="15.75" customHeight="1">
      <c r="B4" s="95" t="s">
        <v>65</v>
      </c>
      <c r="C4" s="96">
        <v>7.14</v>
      </c>
      <c r="D4" s="97">
        <v>1.734</v>
      </c>
      <c r="E4" s="96">
        <v>7.6</v>
      </c>
      <c r="F4" s="98">
        <v>8.4166666666666661</v>
      </c>
      <c r="G4" s="98">
        <v>5.6086956521739131</v>
      </c>
      <c r="H4" s="98">
        <v>5.128205128205128E-2</v>
      </c>
      <c r="I4" s="98">
        <v>21.676644370122631</v>
      </c>
      <c r="J4" s="98">
        <v>1.99</v>
      </c>
      <c r="K4" s="98">
        <v>7.1475409836065573</v>
      </c>
      <c r="L4" s="98">
        <v>0.6</v>
      </c>
      <c r="M4" s="98">
        <v>8.5310734463276834</v>
      </c>
      <c r="N4" s="98">
        <v>2.25</v>
      </c>
      <c r="O4" s="98">
        <v>18.52861442993424</v>
      </c>
    </row>
    <row r="5" spans="2:19" ht="15.75" customHeight="1">
      <c r="B5" s="95" t="s">
        <v>66</v>
      </c>
      <c r="C5" s="95">
        <v>7.44</v>
      </c>
      <c r="D5" s="99">
        <v>1.81</v>
      </c>
      <c r="E5" s="95">
        <v>8.4</v>
      </c>
      <c r="F5" s="100">
        <v>9.8333333333333339</v>
      </c>
      <c r="G5" s="100">
        <v>7</v>
      </c>
      <c r="H5" s="100">
        <v>2.564102564102564E-2</v>
      </c>
      <c r="I5" s="98">
        <v>25.25897435897436</v>
      </c>
      <c r="J5" s="98">
        <v>2.33</v>
      </c>
      <c r="K5" s="100">
        <v>5.9508196721311473</v>
      </c>
      <c r="L5" s="100">
        <v>0.8</v>
      </c>
      <c r="M5" s="98">
        <v>8.361581920903955</v>
      </c>
      <c r="N5" s="100">
        <v>4.447916666666667</v>
      </c>
      <c r="O5" s="98">
        <v>19.56031825970177</v>
      </c>
    </row>
    <row r="6" spans="2:19" ht="15.75" customHeight="1">
      <c r="B6" s="95" t="s">
        <v>67</v>
      </c>
      <c r="C6" s="95">
        <v>7.52</v>
      </c>
      <c r="D6" s="99">
        <v>1.758</v>
      </c>
      <c r="E6" s="95">
        <v>7.1</v>
      </c>
      <c r="F6" s="100">
        <v>9.6666666666666661</v>
      </c>
      <c r="G6" s="100">
        <v>7.0869565217391308</v>
      </c>
      <c r="H6" s="100">
        <v>7.6923076923076927E-2</v>
      </c>
      <c r="I6" s="98">
        <v>23.930546265328875</v>
      </c>
      <c r="J6" s="98">
        <v>2.4700000000000002</v>
      </c>
      <c r="K6" s="100">
        <v>6.7540983606557381</v>
      </c>
      <c r="L6" s="100">
        <v>0.8</v>
      </c>
      <c r="M6" s="98">
        <v>9.2655367231638426</v>
      </c>
      <c r="N6" s="100">
        <v>3</v>
      </c>
      <c r="O6" s="98">
        <v>19.819635083819581</v>
      </c>
    </row>
    <row r="7" spans="2:19" ht="15.75" customHeight="1">
      <c r="B7" s="95" t="s">
        <v>81</v>
      </c>
      <c r="C7" s="95">
        <v>7.44</v>
      </c>
      <c r="D7" s="99">
        <v>0.503</v>
      </c>
      <c r="E7" s="95">
        <v>1.75</v>
      </c>
      <c r="F7" s="100">
        <v>1.5833333333333333</v>
      </c>
      <c r="G7" s="100">
        <v>1.3478260869565217</v>
      </c>
      <c r="H7" s="100">
        <v>0.17948717948717949</v>
      </c>
      <c r="I7" s="98">
        <v>4.8606465997770343</v>
      </c>
      <c r="J7" s="98">
        <v>1.06</v>
      </c>
      <c r="K7" s="100">
        <v>2.377049180327869</v>
      </c>
      <c r="L7" s="100">
        <v>0.2</v>
      </c>
      <c r="M7" s="98">
        <v>1.384180790960452</v>
      </c>
      <c r="N7" s="100">
        <v>0.10416666666666667</v>
      </c>
      <c r="O7" s="98">
        <v>4.0653966379549882</v>
      </c>
    </row>
    <row r="8" spans="2:19" ht="15.75" customHeight="1">
      <c r="B8" s="95" t="s">
        <v>68</v>
      </c>
      <c r="C8" s="95">
        <v>8.3800000000000008</v>
      </c>
      <c r="D8" s="99">
        <v>0.38300000000000001</v>
      </c>
      <c r="E8" s="95">
        <v>1.2</v>
      </c>
      <c r="F8" s="100">
        <v>1.25</v>
      </c>
      <c r="G8" s="100">
        <v>1</v>
      </c>
      <c r="H8" s="100">
        <v>0.12820512820512819</v>
      </c>
      <c r="I8" s="98">
        <v>3.5782051282051284</v>
      </c>
      <c r="J8" s="98">
        <v>0.92</v>
      </c>
      <c r="K8" s="100">
        <v>1.5901639344262295</v>
      </c>
      <c r="L8" s="100">
        <v>0.2</v>
      </c>
      <c r="M8" s="98">
        <v>1.0734463276836159</v>
      </c>
      <c r="N8" s="100">
        <v>0.14583333333333334</v>
      </c>
      <c r="O8" s="98">
        <v>3.0094435954431789</v>
      </c>
    </row>
    <row r="9" spans="2:19" ht="15.75" customHeight="1">
      <c r="B9" s="95" t="s">
        <v>69</v>
      </c>
      <c r="C9" s="95">
        <v>7.28</v>
      </c>
      <c r="D9" s="99">
        <v>0.155</v>
      </c>
      <c r="E9" s="95">
        <v>0.35</v>
      </c>
      <c r="F9" s="100">
        <v>0.5</v>
      </c>
      <c r="G9" s="100">
        <v>0.47826086956521741</v>
      </c>
      <c r="H9" s="100">
        <v>7.6923076923076927E-2</v>
      </c>
      <c r="I9" s="98">
        <v>1.4051839464882943</v>
      </c>
      <c r="J9" s="98">
        <v>0.75</v>
      </c>
      <c r="K9" s="100">
        <v>0.39344262295081966</v>
      </c>
      <c r="L9" s="100">
        <v>0.2</v>
      </c>
      <c r="M9" s="98">
        <v>0.48022598870056499</v>
      </c>
      <c r="N9" s="100">
        <v>7.2916666666666671E-2</v>
      </c>
      <c r="O9" s="98">
        <v>1.1465852783180515</v>
      </c>
    </row>
    <row r="10" spans="2:19" ht="15.75" customHeight="1">
      <c r="B10" s="95" t="s">
        <v>70</v>
      </c>
      <c r="C10" s="95">
        <v>7.74</v>
      </c>
      <c r="D10" s="99">
        <v>0.85299999999999998</v>
      </c>
      <c r="E10" s="95">
        <v>3.1</v>
      </c>
      <c r="F10" s="100">
        <v>5.5</v>
      </c>
      <c r="G10" s="100">
        <v>1.826086956521739</v>
      </c>
      <c r="H10" s="100">
        <v>2.564102564102564E-2</v>
      </c>
      <c r="I10" s="98">
        <v>10.451727982162764</v>
      </c>
      <c r="J10" s="98">
        <v>0.88</v>
      </c>
      <c r="K10" s="100">
        <v>5.557377049180328</v>
      </c>
      <c r="L10" s="100">
        <v>0.6</v>
      </c>
      <c r="M10" s="98">
        <v>1.384180790960452</v>
      </c>
      <c r="N10" s="100">
        <v>0.10416666666666667</v>
      </c>
      <c r="O10" s="98">
        <v>7.6457245068074462</v>
      </c>
    </row>
    <row r="11" spans="2:19" ht="15.75" customHeight="1">
      <c r="B11" s="95" t="s">
        <v>71</v>
      </c>
      <c r="C11" s="95">
        <v>7.95</v>
      </c>
      <c r="D11" s="99">
        <v>0.39900000000000002</v>
      </c>
      <c r="E11" s="95">
        <v>1.3</v>
      </c>
      <c r="F11" s="100">
        <v>1.9166666666666667</v>
      </c>
      <c r="G11" s="100">
        <v>1</v>
      </c>
      <c r="H11" s="100">
        <v>5.128205128205128E-2</v>
      </c>
      <c r="I11" s="98">
        <v>4.2679487179487179</v>
      </c>
      <c r="J11" s="98">
        <v>0.81</v>
      </c>
      <c r="K11" s="100">
        <v>1.5901639344262295</v>
      </c>
      <c r="L11" s="100">
        <v>0.2</v>
      </c>
      <c r="M11" s="98">
        <v>1.1581920903954803</v>
      </c>
      <c r="N11" s="100">
        <v>0.5</v>
      </c>
      <c r="O11" s="98">
        <v>3.4483560248217096</v>
      </c>
    </row>
    <row r="12" spans="2:19" ht="15.75" customHeight="1">
      <c r="B12" s="95" t="s">
        <v>72</v>
      </c>
      <c r="C12" s="95">
        <v>7.27</v>
      </c>
      <c r="D12" s="99">
        <v>1.569</v>
      </c>
      <c r="E12" s="95">
        <v>4.3</v>
      </c>
      <c r="F12" s="100">
        <v>7.166666666666667</v>
      </c>
      <c r="G12" s="100">
        <v>7.5217391304347823</v>
      </c>
      <c r="H12" s="100">
        <v>0.35897435897435898</v>
      </c>
      <c r="I12" s="98">
        <v>19.347380156075808</v>
      </c>
      <c r="J12" s="98">
        <v>3.16</v>
      </c>
      <c r="K12" s="100">
        <v>7.5409836065573774</v>
      </c>
      <c r="L12" s="100">
        <v>0.8</v>
      </c>
      <c r="M12" s="98">
        <v>7.4293785310734464</v>
      </c>
      <c r="N12" s="100">
        <v>1.1458333333333333</v>
      </c>
      <c r="O12" s="98">
        <v>16.916195470964158</v>
      </c>
    </row>
    <row r="13" spans="2:19" ht="15.75" customHeight="1">
      <c r="B13" s="95" t="s">
        <v>82</v>
      </c>
      <c r="C13" s="95">
        <v>7.58</v>
      </c>
      <c r="D13" s="99">
        <v>2.2160000000000002</v>
      </c>
      <c r="E13" s="95">
        <v>7.8</v>
      </c>
      <c r="F13" s="100">
        <v>8.25</v>
      </c>
      <c r="G13" s="100">
        <v>7.7826086956521738</v>
      </c>
      <c r="H13" s="100">
        <v>2.564102564102564E-2</v>
      </c>
      <c r="I13" s="98">
        <v>23.858249721293202</v>
      </c>
      <c r="J13" s="98">
        <v>2.76</v>
      </c>
      <c r="K13" s="100">
        <v>5.1639344262295079</v>
      </c>
      <c r="L13" s="100">
        <v>0.8</v>
      </c>
      <c r="M13" s="98">
        <v>10.169491525423728</v>
      </c>
      <c r="N13" s="100">
        <v>3.25</v>
      </c>
      <c r="O13" s="98">
        <v>19.383425951653237</v>
      </c>
      <c r="R13" s="101"/>
    </row>
    <row r="15" spans="2:19" ht="15" thickBot="1">
      <c r="B15" s="102" t="s">
        <v>95</v>
      </c>
    </row>
    <row r="16" spans="2:19" ht="40.5" customHeight="1" thickBot="1">
      <c r="B16" s="94" t="s">
        <v>64</v>
      </c>
      <c r="C16" s="94" t="s">
        <v>0</v>
      </c>
      <c r="D16" s="94" t="s">
        <v>78</v>
      </c>
      <c r="E16" s="94" t="s">
        <v>74</v>
      </c>
      <c r="F16" s="94" t="s">
        <v>75</v>
      </c>
      <c r="G16" s="94" t="s">
        <v>76</v>
      </c>
      <c r="H16" s="94" t="s">
        <v>77</v>
      </c>
      <c r="I16" s="94" t="s">
        <v>73</v>
      </c>
      <c r="J16" s="94" t="s">
        <v>14</v>
      </c>
      <c r="K16" s="94" t="s">
        <v>91</v>
      </c>
      <c r="L16" s="94" t="s">
        <v>92</v>
      </c>
      <c r="M16" s="94" t="s">
        <v>93</v>
      </c>
      <c r="N16" s="94" t="s">
        <v>94</v>
      </c>
      <c r="O16" s="94" t="s">
        <v>79</v>
      </c>
      <c r="P16" s="103" t="s">
        <v>96</v>
      </c>
      <c r="Q16" s="275" t="s">
        <v>101</v>
      </c>
      <c r="S16" t="s">
        <v>87</v>
      </c>
    </row>
    <row r="17" spans="1:21" ht="15" customHeight="1">
      <c r="A17">
        <v>1</v>
      </c>
      <c r="B17" s="96" t="s">
        <v>69</v>
      </c>
      <c r="C17" s="277">
        <v>7.28</v>
      </c>
      <c r="D17" s="97">
        <v>0.155</v>
      </c>
      <c r="E17" s="96">
        <v>0.35</v>
      </c>
      <c r="F17" s="98">
        <v>0.5</v>
      </c>
      <c r="G17" s="98">
        <v>0.47826086956521741</v>
      </c>
      <c r="H17" s="98">
        <v>7.6923076923076927E-2</v>
      </c>
      <c r="I17" s="104">
        <v>1.4051839464882943</v>
      </c>
      <c r="J17" s="98">
        <v>0.75</v>
      </c>
      <c r="K17" s="98">
        <v>0.39344262295081966</v>
      </c>
      <c r="L17" s="98">
        <v>0.2</v>
      </c>
      <c r="M17" s="98">
        <v>0.48022598870056499</v>
      </c>
      <c r="N17" s="98">
        <v>7.2916666666666671E-2</v>
      </c>
      <c r="O17" s="104">
        <v>1.1465852783180515</v>
      </c>
      <c r="P17" s="278">
        <f t="shared" ref="P17:P26" si="0">K17/O17</f>
        <v>0.34314292219761305</v>
      </c>
      <c r="Q17" s="131">
        <f t="shared" ref="Q17:Q26" si="1">133*(K17+L17*2)</f>
        <v>105.52786885245902</v>
      </c>
      <c r="S17" t="s">
        <v>84</v>
      </c>
      <c r="T17">
        <f>3.79*43560*7.48/1000</f>
        <v>1234.8911519999999</v>
      </c>
      <c r="U17" t="s">
        <v>85</v>
      </c>
    </row>
    <row r="18" spans="1:21" ht="15" customHeight="1">
      <c r="A18">
        <v>2</v>
      </c>
      <c r="B18" s="95" t="s">
        <v>71</v>
      </c>
      <c r="C18" s="107">
        <v>7.95</v>
      </c>
      <c r="D18" s="99">
        <v>0.39900000000000002</v>
      </c>
      <c r="E18" s="95">
        <v>1.3</v>
      </c>
      <c r="F18" s="100">
        <v>1.9166666666666667</v>
      </c>
      <c r="G18" s="100">
        <v>1</v>
      </c>
      <c r="H18" s="100">
        <v>5.128205128205128E-2</v>
      </c>
      <c r="I18" s="104">
        <v>4.2679487179487179</v>
      </c>
      <c r="J18" s="98">
        <v>0.81</v>
      </c>
      <c r="K18" s="100">
        <v>1.5901639344262295</v>
      </c>
      <c r="L18" s="100">
        <v>0.2</v>
      </c>
      <c r="M18" s="98">
        <v>1.1581920903954803</v>
      </c>
      <c r="N18" s="100">
        <v>0.5</v>
      </c>
      <c r="O18" s="104">
        <v>3.4483560248217096</v>
      </c>
      <c r="P18" s="278">
        <f t="shared" si="0"/>
        <v>0.46113682084449092</v>
      </c>
      <c r="Q18" s="131">
        <f t="shared" si="1"/>
        <v>264.69180327868855</v>
      </c>
    </row>
    <row r="19" spans="1:21" ht="15" customHeight="1">
      <c r="A19">
        <v>3</v>
      </c>
      <c r="B19" s="95" t="s">
        <v>68</v>
      </c>
      <c r="C19" s="107">
        <v>8.3800000000000008</v>
      </c>
      <c r="D19" s="99">
        <v>0.38300000000000001</v>
      </c>
      <c r="E19" s="95">
        <v>1.2</v>
      </c>
      <c r="F19" s="100">
        <v>1.25</v>
      </c>
      <c r="G19" s="100">
        <v>1</v>
      </c>
      <c r="H19" s="100">
        <v>0.12820512820512819</v>
      </c>
      <c r="I19" s="104">
        <v>3.5782051282051284</v>
      </c>
      <c r="J19" s="98">
        <v>0.92</v>
      </c>
      <c r="K19" s="100">
        <v>1.5901639344262295</v>
      </c>
      <c r="L19" s="100">
        <v>0.2</v>
      </c>
      <c r="M19" s="98">
        <v>1.0734463276836159</v>
      </c>
      <c r="N19" s="100">
        <v>0.14583333333333334</v>
      </c>
      <c r="O19" s="104">
        <v>3.0094435954431789</v>
      </c>
      <c r="P19" s="278">
        <f t="shared" si="0"/>
        <v>0.52839134012480393</v>
      </c>
      <c r="Q19" s="131">
        <f t="shared" si="1"/>
        <v>264.69180327868855</v>
      </c>
      <c r="S19" s="106" t="s">
        <v>86</v>
      </c>
      <c r="T19">
        <f>133/2.2026/1235</f>
        <v>4.8893266000321296E-2</v>
      </c>
      <c r="U19" t="s">
        <v>88</v>
      </c>
    </row>
    <row r="20" spans="1:21" ht="15" customHeight="1">
      <c r="A20">
        <v>4</v>
      </c>
      <c r="B20" s="95" t="s">
        <v>81</v>
      </c>
      <c r="C20" s="107">
        <v>7.44</v>
      </c>
      <c r="D20" s="99">
        <v>0.503</v>
      </c>
      <c r="E20" s="95">
        <v>1.75</v>
      </c>
      <c r="F20" s="100">
        <v>1.5833333333333333</v>
      </c>
      <c r="G20" s="100">
        <v>1.3478260869565217</v>
      </c>
      <c r="H20" s="100">
        <v>0.17948717948717949</v>
      </c>
      <c r="I20" s="104">
        <v>4.8606465997770343</v>
      </c>
      <c r="J20" s="98">
        <v>1.06</v>
      </c>
      <c r="K20" s="100">
        <v>2.377049180327869</v>
      </c>
      <c r="L20" s="100">
        <v>0.2</v>
      </c>
      <c r="M20" s="98">
        <v>1.384180790960452</v>
      </c>
      <c r="N20" s="100">
        <v>0.10416666666666667</v>
      </c>
      <c r="O20" s="104">
        <v>4.0653966379549882</v>
      </c>
      <c r="P20" s="278">
        <f t="shared" si="0"/>
        <v>0.58470289421097998</v>
      </c>
      <c r="Q20" s="131">
        <f t="shared" si="1"/>
        <v>369.34754098360656</v>
      </c>
      <c r="T20" t="s">
        <v>89</v>
      </c>
    </row>
    <row r="21" spans="1:21" ht="15" customHeight="1">
      <c r="A21">
        <v>5</v>
      </c>
      <c r="B21" s="95" t="s">
        <v>82</v>
      </c>
      <c r="C21" s="107">
        <v>7.58</v>
      </c>
      <c r="D21" s="99">
        <v>2.2160000000000002</v>
      </c>
      <c r="E21" s="95">
        <v>7.8</v>
      </c>
      <c r="F21" s="100">
        <v>8.25</v>
      </c>
      <c r="G21" s="100">
        <v>7.7826086956521738</v>
      </c>
      <c r="H21" s="100">
        <v>2.564102564102564E-2</v>
      </c>
      <c r="I21" s="104">
        <v>23.858249721293202</v>
      </c>
      <c r="J21" s="98">
        <v>2.76</v>
      </c>
      <c r="K21" s="100">
        <v>5.1639344262295079</v>
      </c>
      <c r="L21" s="100">
        <v>0.8</v>
      </c>
      <c r="M21" s="98">
        <v>10.169491525423728</v>
      </c>
      <c r="N21" s="100">
        <v>3.25</v>
      </c>
      <c r="O21" s="104">
        <v>19.383425951653237</v>
      </c>
      <c r="P21" s="278">
        <f t="shared" si="0"/>
        <v>0.26640978943090654</v>
      </c>
      <c r="Q21" s="131">
        <f t="shared" si="1"/>
        <v>899.60327868852448</v>
      </c>
    </row>
    <row r="22" spans="1:21" ht="15" customHeight="1">
      <c r="A22">
        <v>6</v>
      </c>
      <c r="B22" s="95" t="s">
        <v>70</v>
      </c>
      <c r="C22" s="107">
        <v>7.74</v>
      </c>
      <c r="D22" s="99">
        <v>0.85299999999999998</v>
      </c>
      <c r="E22" s="95">
        <v>3.1</v>
      </c>
      <c r="F22" s="100">
        <v>5.5</v>
      </c>
      <c r="G22" s="100">
        <v>1.826086956521739</v>
      </c>
      <c r="H22" s="100">
        <v>2.564102564102564E-2</v>
      </c>
      <c r="I22" s="104">
        <v>10.451727982162764</v>
      </c>
      <c r="J22" s="98">
        <v>0.88</v>
      </c>
      <c r="K22" s="100">
        <v>5.557377049180328</v>
      </c>
      <c r="L22" s="100">
        <v>0.6</v>
      </c>
      <c r="M22" s="98">
        <v>1.384180790960452</v>
      </c>
      <c r="N22" s="100">
        <v>0.10416666666666667</v>
      </c>
      <c r="O22" s="104">
        <v>7.6457245068074462</v>
      </c>
      <c r="P22" s="278">
        <f t="shared" si="0"/>
        <v>0.72686074998285155</v>
      </c>
      <c r="Q22" s="131">
        <f t="shared" si="1"/>
        <v>898.73114754098367</v>
      </c>
    </row>
    <row r="23" spans="1:21" ht="15" customHeight="1">
      <c r="A23">
        <v>7</v>
      </c>
      <c r="B23" s="95" t="s">
        <v>66</v>
      </c>
      <c r="C23" s="107">
        <v>7.44</v>
      </c>
      <c r="D23" s="99">
        <v>1.81</v>
      </c>
      <c r="E23" s="95">
        <v>8.4</v>
      </c>
      <c r="F23" s="100">
        <v>9.8333333333333339</v>
      </c>
      <c r="G23" s="100">
        <v>7</v>
      </c>
      <c r="H23" s="100">
        <v>2.564102564102564E-2</v>
      </c>
      <c r="I23" s="104">
        <v>25.25897435897436</v>
      </c>
      <c r="J23" s="98">
        <v>2.33</v>
      </c>
      <c r="K23" s="100">
        <v>5.9508196721311473</v>
      </c>
      <c r="L23" s="100">
        <v>0.8</v>
      </c>
      <c r="M23" s="98">
        <v>8.361581920903955</v>
      </c>
      <c r="N23" s="100">
        <v>4.447916666666667</v>
      </c>
      <c r="O23" s="104">
        <v>19.56031825970177</v>
      </c>
      <c r="P23" s="278">
        <f t="shared" si="0"/>
        <v>0.3042291844704309</v>
      </c>
      <c r="Q23" s="131">
        <f t="shared" si="1"/>
        <v>1004.2590163934426</v>
      </c>
    </row>
    <row r="24" spans="1:21" ht="15" customHeight="1">
      <c r="A24">
        <v>8</v>
      </c>
      <c r="B24" s="95" t="s">
        <v>67</v>
      </c>
      <c r="C24" s="107">
        <v>7.52</v>
      </c>
      <c r="D24" s="99">
        <v>1.758</v>
      </c>
      <c r="E24" s="95">
        <v>7.1</v>
      </c>
      <c r="F24" s="100">
        <v>9.6666666666666661</v>
      </c>
      <c r="G24" s="100">
        <v>7.0869565217391308</v>
      </c>
      <c r="H24" s="100">
        <v>7.6923076923076927E-2</v>
      </c>
      <c r="I24" s="104">
        <v>23.930546265328875</v>
      </c>
      <c r="J24" s="98">
        <v>2.4700000000000002</v>
      </c>
      <c r="K24" s="100">
        <v>6.7540983606557381</v>
      </c>
      <c r="L24" s="100">
        <v>0.8</v>
      </c>
      <c r="M24" s="98">
        <v>9.2655367231638426</v>
      </c>
      <c r="N24" s="100">
        <v>3</v>
      </c>
      <c r="O24" s="104">
        <v>19.819635083819581</v>
      </c>
      <c r="P24" s="278">
        <f t="shared" si="0"/>
        <v>0.34077813905714499</v>
      </c>
      <c r="Q24" s="131">
        <f t="shared" si="1"/>
        <v>1111.0950819672132</v>
      </c>
    </row>
    <row r="25" spans="1:21" ht="15" customHeight="1">
      <c r="A25">
        <v>9</v>
      </c>
      <c r="B25" s="95" t="s">
        <v>65</v>
      </c>
      <c r="C25" s="107">
        <v>7.14</v>
      </c>
      <c r="D25" s="99">
        <v>1.734</v>
      </c>
      <c r="E25" s="95">
        <v>7.6</v>
      </c>
      <c r="F25" s="100">
        <v>8.4166666666666661</v>
      </c>
      <c r="G25" s="100">
        <v>5.6086956521739131</v>
      </c>
      <c r="H25" s="100">
        <v>5.128205128205128E-2</v>
      </c>
      <c r="I25" s="104">
        <v>21.676644370122631</v>
      </c>
      <c r="J25" s="98">
        <v>1.99</v>
      </c>
      <c r="K25" s="100">
        <v>7.1475409836065573</v>
      </c>
      <c r="L25" s="100">
        <v>0.6</v>
      </c>
      <c r="M25" s="98">
        <v>8.5310734463276834</v>
      </c>
      <c r="N25" s="100">
        <v>2.25</v>
      </c>
      <c r="O25" s="104">
        <v>18.52861442993424</v>
      </c>
      <c r="P25" s="278">
        <f t="shared" si="0"/>
        <v>0.38575690646674676</v>
      </c>
      <c r="Q25" s="131">
        <f t="shared" si="1"/>
        <v>1110.222950819672</v>
      </c>
    </row>
    <row r="26" spans="1:21" ht="15" customHeight="1">
      <c r="A26">
        <v>10</v>
      </c>
      <c r="B26" s="95" t="s">
        <v>72</v>
      </c>
      <c r="C26" s="107">
        <v>7.27</v>
      </c>
      <c r="D26" s="99">
        <v>1.569</v>
      </c>
      <c r="E26" s="95">
        <v>4.3</v>
      </c>
      <c r="F26" s="100">
        <v>7.166666666666667</v>
      </c>
      <c r="G26" s="100">
        <v>7.5217391304347823</v>
      </c>
      <c r="H26" s="100">
        <v>0.35897435897435898</v>
      </c>
      <c r="I26" s="104">
        <v>19.347380156075808</v>
      </c>
      <c r="J26" s="98">
        <v>3.16</v>
      </c>
      <c r="K26" s="100">
        <v>7.5409836065573774</v>
      </c>
      <c r="L26" s="100">
        <v>0.8</v>
      </c>
      <c r="M26" s="98">
        <v>7.4293785310734464</v>
      </c>
      <c r="N26" s="100">
        <v>1.1458333333333333</v>
      </c>
      <c r="O26" s="104">
        <v>16.916195470964158</v>
      </c>
      <c r="P26" s="278">
        <f t="shared" si="0"/>
        <v>0.4457848468056021</v>
      </c>
      <c r="Q26" s="131">
        <f t="shared" si="1"/>
        <v>1215.7508196721312</v>
      </c>
    </row>
    <row r="27" spans="1:21" ht="15" customHeight="1">
      <c r="B27" s="108" t="s">
        <v>102</v>
      </c>
      <c r="C27" s="101"/>
      <c r="D27" s="51"/>
      <c r="E27" s="47"/>
      <c r="F27" s="49"/>
      <c r="G27" s="49"/>
      <c r="H27" s="49"/>
      <c r="I27" s="109"/>
      <c r="J27" s="49"/>
      <c r="K27" s="49"/>
      <c r="L27" s="49"/>
      <c r="M27" s="49"/>
      <c r="N27" s="49"/>
      <c r="O27" s="109"/>
      <c r="P27" s="110"/>
      <c r="Q27" s="111"/>
    </row>
    <row r="28" spans="1:21">
      <c r="I28" s="41"/>
      <c r="O28" s="41"/>
      <c r="P28" s="41"/>
      <c r="Q28" s="41"/>
    </row>
    <row r="29" spans="1:21">
      <c r="B29" s="112" t="s">
        <v>80</v>
      </c>
      <c r="I29" s="41"/>
      <c r="O29" s="41"/>
      <c r="P29" s="41"/>
      <c r="Q29" s="41"/>
    </row>
    <row r="30" spans="1:21" ht="33.75" customHeight="1" thickBot="1">
      <c r="B30" s="94" t="s">
        <v>64</v>
      </c>
      <c r="C30" s="94" t="s">
        <v>0</v>
      </c>
      <c r="D30" s="94" t="s">
        <v>78</v>
      </c>
      <c r="E30" s="94" t="s">
        <v>74</v>
      </c>
      <c r="F30" s="94" t="s">
        <v>75</v>
      </c>
      <c r="G30" s="94" t="s">
        <v>76</v>
      </c>
      <c r="H30" s="94" t="s">
        <v>77</v>
      </c>
      <c r="I30" s="94" t="s">
        <v>73</v>
      </c>
      <c r="J30" s="94" t="s">
        <v>14</v>
      </c>
      <c r="K30" s="94" t="s">
        <v>91</v>
      </c>
      <c r="L30" s="94" t="s">
        <v>92</v>
      </c>
      <c r="M30" s="94" t="s">
        <v>93</v>
      </c>
      <c r="N30" s="94" t="s">
        <v>94</v>
      </c>
      <c r="O30" s="94" t="s">
        <v>79</v>
      </c>
      <c r="P30" s="94" t="s">
        <v>96</v>
      </c>
      <c r="Q30" s="94" t="s">
        <v>90</v>
      </c>
    </row>
    <row r="31" spans="1:21" ht="15" customHeight="1">
      <c r="A31">
        <v>1</v>
      </c>
      <c r="B31" s="113" t="s">
        <v>69</v>
      </c>
      <c r="C31" s="113">
        <v>7.28</v>
      </c>
      <c r="D31" s="114">
        <v>0.155</v>
      </c>
      <c r="E31" s="113">
        <v>0.35</v>
      </c>
      <c r="F31" s="115">
        <v>0.5</v>
      </c>
      <c r="G31" s="115">
        <v>0.47826086956521741</v>
      </c>
      <c r="H31" s="115">
        <v>7.6923076923076927E-2</v>
      </c>
      <c r="I31" s="116">
        <v>1.4051839464882943</v>
      </c>
      <c r="J31" s="115">
        <v>0.75</v>
      </c>
      <c r="K31" s="115">
        <v>0.39344262295081966</v>
      </c>
      <c r="L31" s="115">
        <v>0.2</v>
      </c>
      <c r="M31" s="115">
        <v>0.48022598870056499</v>
      </c>
      <c r="N31" s="115">
        <v>7.2916666666666671E-2</v>
      </c>
      <c r="O31" s="116">
        <v>1.1465852783180515</v>
      </c>
      <c r="P31" s="117">
        <f>K31/O31</f>
        <v>0.34314292219761305</v>
      </c>
      <c r="Q31" s="117">
        <f>0.326*(1.5/D31)^-1.64</f>
        <v>7.8808292908353599E-3</v>
      </c>
    </row>
    <row r="32" spans="1:21" ht="15" customHeight="1">
      <c r="A32">
        <v>2</v>
      </c>
      <c r="B32" s="118" t="s">
        <v>68</v>
      </c>
      <c r="C32" s="118">
        <v>8.3800000000000008</v>
      </c>
      <c r="D32" s="119">
        <v>0.38300000000000001</v>
      </c>
      <c r="E32" s="118">
        <v>1.2</v>
      </c>
      <c r="F32" s="120">
        <v>1.25</v>
      </c>
      <c r="G32" s="120">
        <v>1</v>
      </c>
      <c r="H32" s="120">
        <v>0.12820512820512819</v>
      </c>
      <c r="I32" s="121">
        <v>3.5782051282051284</v>
      </c>
      <c r="J32" s="120">
        <v>0.92</v>
      </c>
      <c r="K32" s="120">
        <v>1.5901639344262295</v>
      </c>
      <c r="L32" s="120">
        <v>0.2</v>
      </c>
      <c r="M32" s="120">
        <v>1.0734463276836159</v>
      </c>
      <c r="N32" s="120">
        <v>0.14583333333333334</v>
      </c>
      <c r="O32" s="121">
        <v>3.0094435954431789</v>
      </c>
      <c r="P32" s="117">
        <f t="shared" ref="P32:P40" si="2">K32/O32</f>
        <v>0.52839134012480393</v>
      </c>
      <c r="Q32" s="117">
        <f t="shared" ref="Q32:Q40" si="3">0.326*(1.5/D32)^-1.64</f>
        <v>3.4743528650887624E-2</v>
      </c>
    </row>
    <row r="33" spans="1:17" ht="15" customHeight="1">
      <c r="A33">
        <v>3</v>
      </c>
      <c r="B33" s="118" t="s">
        <v>71</v>
      </c>
      <c r="C33" s="118">
        <v>7.95</v>
      </c>
      <c r="D33" s="119">
        <v>0.39900000000000002</v>
      </c>
      <c r="E33" s="118">
        <v>1.3</v>
      </c>
      <c r="F33" s="120">
        <v>1.9166666666666667</v>
      </c>
      <c r="G33" s="120">
        <v>1</v>
      </c>
      <c r="H33" s="120">
        <v>5.128205128205128E-2</v>
      </c>
      <c r="I33" s="121">
        <v>4.2679487179487179</v>
      </c>
      <c r="J33" s="120">
        <v>0.81</v>
      </c>
      <c r="K33" s="120">
        <v>1.5901639344262295</v>
      </c>
      <c r="L33" s="120">
        <v>0.2</v>
      </c>
      <c r="M33" s="120">
        <v>1.1581920903954803</v>
      </c>
      <c r="N33" s="120">
        <v>0.5</v>
      </c>
      <c r="O33" s="121">
        <v>3.4483560248217096</v>
      </c>
      <c r="P33" s="117">
        <f t="shared" si="2"/>
        <v>0.46113682084449092</v>
      </c>
      <c r="Q33" s="117">
        <f t="shared" si="3"/>
        <v>3.7155532012452877E-2</v>
      </c>
    </row>
    <row r="34" spans="1:17" ht="15" customHeight="1">
      <c r="A34">
        <v>4</v>
      </c>
      <c r="B34" s="118" t="s">
        <v>81</v>
      </c>
      <c r="C34" s="118">
        <v>7.44</v>
      </c>
      <c r="D34" s="119">
        <v>0.503</v>
      </c>
      <c r="E34" s="118">
        <v>1.75</v>
      </c>
      <c r="F34" s="120">
        <v>1.5833333333333333</v>
      </c>
      <c r="G34" s="120">
        <v>1.3478260869565217</v>
      </c>
      <c r="H34" s="120">
        <v>0.17948717948717949</v>
      </c>
      <c r="I34" s="121">
        <v>4.8606465997770343</v>
      </c>
      <c r="J34" s="120">
        <v>1.06</v>
      </c>
      <c r="K34" s="120">
        <v>2.377049180327869</v>
      </c>
      <c r="L34" s="120">
        <v>0.2</v>
      </c>
      <c r="M34" s="120">
        <v>1.384180790960452</v>
      </c>
      <c r="N34" s="120">
        <v>0.10416666666666667</v>
      </c>
      <c r="O34" s="121">
        <v>4.0653966379549882</v>
      </c>
      <c r="P34" s="117">
        <f t="shared" si="2"/>
        <v>0.58470289421097998</v>
      </c>
      <c r="Q34" s="117">
        <f t="shared" si="3"/>
        <v>5.4324961937728636E-2</v>
      </c>
    </row>
    <row r="35" spans="1:17" ht="15" customHeight="1">
      <c r="A35">
        <v>5</v>
      </c>
      <c r="B35" s="113" t="s">
        <v>70</v>
      </c>
      <c r="C35" s="113">
        <v>7.74</v>
      </c>
      <c r="D35" s="114">
        <v>0.85299999999999998</v>
      </c>
      <c r="E35" s="113">
        <v>3.1</v>
      </c>
      <c r="F35" s="115">
        <v>5.5</v>
      </c>
      <c r="G35" s="115">
        <v>1.826086956521739</v>
      </c>
      <c r="H35" s="115">
        <v>2.564102564102564E-2</v>
      </c>
      <c r="I35" s="116">
        <v>10.451727982162764</v>
      </c>
      <c r="J35" s="115">
        <v>0.88</v>
      </c>
      <c r="K35" s="115">
        <v>5.557377049180328</v>
      </c>
      <c r="L35" s="115">
        <v>0.6</v>
      </c>
      <c r="M35" s="115">
        <v>1.384180790960452</v>
      </c>
      <c r="N35" s="115">
        <v>0.10416666666666667</v>
      </c>
      <c r="O35" s="116">
        <v>7.6457245068074462</v>
      </c>
      <c r="P35" s="122">
        <f t="shared" si="2"/>
        <v>0.72686074998285155</v>
      </c>
      <c r="Q35" s="117">
        <f t="shared" si="3"/>
        <v>0.12917674778208971</v>
      </c>
    </row>
    <row r="36" spans="1:17" ht="15" customHeight="1">
      <c r="A36">
        <v>6</v>
      </c>
      <c r="B36" s="95" t="s">
        <v>72</v>
      </c>
      <c r="C36" s="95">
        <v>7.27</v>
      </c>
      <c r="D36" s="123">
        <v>1.569</v>
      </c>
      <c r="E36" s="95">
        <v>4.3</v>
      </c>
      <c r="F36" s="100">
        <v>7.166666666666667</v>
      </c>
      <c r="G36" s="100">
        <v>7.5217391304347823</v>
      </c>
      <c r="H36" s="100">
        <v>0.35897435897435898</v>
      </c>
      <c r="I36" s="104">
        <v>19.347380156075808</v>
      </c>
      <c r="J36" s="98">
        <v>3.16</v>
      </c>
      <c r="K36" s="100">
        <v>7.5409836065573774</v>
      </c>
      <c r="L36" s="100">
        <v>0.8</v>
      </c>
      <c r="M36" s="98">
        <v>7.4293785310734464</v>
      </c>
      <c r="N36" s="100">
        <v>1.1458333333333333</v>
      </c>
      <c r="O36" s="104">
        <v>16.916195470964158</v>
      </c>
      <c r="P36" s="105">
        <f t="shared" si="2"/>
        <v>0.4457848468056021</v>
      </c>
      <c r="Q36" s="117">
        <f t="shared" si="3"/>
        <v>0.35095348770380685</v>
      </c>
    </row>
    <row r="37" spans="1:17" ht="15" customHeight="1">
      <c r="A37">
        <v>7</v>
      </c>
      <c r="B37" s="95" t="s">
        <v>65</v>
      </c>
      <c r="C37" s="95">
        <v>7.14</v>
      </c>
      <c r="D37" s="123">
        <v>1.734</v>
      </c>
      <c r="E37" s="95">
        <v>7.6</v>
      </c>
      <c r="F37" s="100">
        <v>8.4166666666666661</v>
      </c>
      <c r="G37" s="100">
        <v>5.6086956521739131</v>
      </c>
      <c r="H37" s="100">
        <v>5.128205128205128E-2</v>
      </c>
      <c r="I37" s="104">
        <v>21.676644370122631</v>
      </c>
      <c r="J37" s="98">
        <v>1.99</v>
      </c>
      <c r="K37" s="100">
        <v>7.1475409836065573</v>
      </c>
      <c r="L37" s="100">
        <v>0.6</v>
      </c>
      <c r="M37" s="98">
        <v>8.5310734463276834</v>
      </c>
      <c r="N37" s="100">
        <v>2.25</v>
      </c>
      <c r="O37" s="104">
        <v>18.52861442993424</v>
      </c>
      <c r="P37" s="105">
        <f t="shared" si="2"/>
        <v>0.38575690646674676</v>
      </c>
      <c r="Q37" s="117">
        <f t="shared" si="3"/>
        <v>0.41349327245656392</v>
      </c>
    </row>
    <row r="38" spans="1:17" ht="15" customHeight="1">
      <c r="A38">
        <v>8</v>
      </c>
      <c r="B38" s="95" t="s">
        <v>67</v>
      </c>
      <c r="C38" s="95">
        <v>7.52</v>
      </c>
      <c r="D38" s="123">
        <v>1.758</v>
      </c>
      <c r="E38" s="95">
        <v>7.1</v>
      </c>
      <c r="F38" s="100">
        <v>9.6666666666666661</v>
      </c>
      <c r="G38" s="100">
        <v>7.0869565217391308</v>
      </c>
      <c r="H38" s="100">
        <v>7.6923076923076927E-2</v>
      </c>
      <c r="I38" s="104">
        <v>23.930546265328875</v>
      </c>
      <c r="J38" s="98">
        <v>2.4700000000000002</v>
      </c>
      <c r="K38" s="100">
        <v>6.7540983606557381</v>
      </c>
      <c r="L38" s="100">
        <v>0.8</v>
      </c>
      <c r="M38" s="98">
        <v>9.2655367231638426</v>
      </c>
      <c r="N38" s="100">
        <v>3</v>
      </c>
      <c r="O38" s="104">
        <v>19.819635083819581</v>
      </c>
      <c r="P38" s="105">
        <f t="shared" si="2"/>
        <v>0.34077813905714499</v>
      </c>
      <c r="Q38" s="117">
        <f t="shared" si="3"/>
        <v>0.42292064241439814</v>
      </c>
    </row>
    <row r="39" spans="1:17" ht="15" customHeight="1">
      <c r="A39">
        <v>9</v>
      </c>
      <c r="B39" s="95" t="s">
        <v>66</v>
      </c>
      <c r="C39" s="95">
        <v>7.44</v>
      </c>
      <c r="D39" s="123">
        <v>1.81</v>
      </c>
      <c r="E39" s="95">
        <v>8.4</v>
      </c>
      <c r="F39" s="100">
        <v>9.8333333333333339</v>
      </c>
      <c r="G39" s="100">
        <v>7</v>
      </c>
      <c r="H39" s="100">
        <v>2.564102564102564E-2</v>
      </c>
      <c r="I39" s="104">
        <v>25.25897435897436</v>
      </c>
      <c r="J39" s="98">
        <v>2.33</v>
      </c>
      <c r="K39" s="100">
        <v>5.9508196721311473</v>
      </c>
      <c r="L39" s="100">
        <v>0.8</v>
      </c>
      <c r="M39" s="98">
        <v>8.361581920903955</v>
      </c>
      <c r="N39" s="100">
        <v>4.447916666666667</v>
      </c>
      <c r="O39" s="104">
        <v>19.56031825970177</v>
      </c>
      <c r="P39" s="105">
        <f t="shared" si="2"/>
        <v>0.3042291844704309</v>
      </c>
      <c r="Q39" s="117">
        <f t="shared" si="3"/>
        <v>0.44362988848968971</v>
      </c>
    </row>
    <row r="40" spans="1:17" ht="15" customHeight="1">
      <c r="A40">
        <v>10</v>
      </c>
      <c r="B40" s="95" t="s">
        <v>82</v>
      </c>
      <c r="C40" s="95">
        <v>7.58</v>
      </c>
      <c r="D40" s="123">
        <v>2.2160000000000002</v>
      </c>
      <c r="E40" s="95">
        <v>7.8</v>
      </c>
      <c r="F40" s="100">
        <v>8.25</v>
      </c>
      <c r="G40" s="100">
        <v>7.7826086956521738</v>
      </c>
      <c r="H40" s="100">
        <v>2.564102564102564E-2</v>
      </c>
      <c r="I40" s="104">
        <v>23.858249721293202</v>
      </c>
      <c r="J40" s="98">
        <v>2.76</v>
      </c>
      <c r="K40" s="100">
        <v>5.1639344262295079</v>
      </c>
      <c r="L40" s="100">
        <v>0.8</v>
      </c>
      <c r="M40" s="98">
        <v>10.169491525423728</v>
      </c>
      <c r="N40" s="100">
        <v>3.25</v>
      </c>
      <c r="O40" s="104">
        <v>19.383425951653237</v>
      </c>
      <c r="P40" s="105">
        <f t="shared" si="2"/>
        <v>0.26640978943090654</v>
      </c>
      <c r="Q40" s="117">
        <f t="shared" si="3"/>
        <v>0.61824745197396935</v>
      </c>
    </row>
    <row r="41" spans="1:17" ht="15" customHeight="1">
      <c r="B41" s="480" t="s">
        <v>97</v>
      </c>
      <c r="C41" s="481"/>
      <c r="D41" s="481"/>
      <c r="E41" s="481"/>
      <c r="F41" s="481"/>
      <c r="G41" s="481"/>
      <c r="H41" s="481"/>
      <c r="I41" s="481"/>
      <c r="J41" s="481"/>
      <c r="K41" s="481"/>
      <c r="L41" s="481"/>
      <c r="M41" s="481"/>
      <c r="N41" s="481"/>
      <c r="O41" s="481"/>
      <c r="P41" s="481"/>
      <c r="Q41" s="481"/>
    </row>
    <row r="42" spans="1:17">
      <c r="B42" s="482"/>
      <c r="C42" s="482"/>
      <c r="D42" s="482"/>
      <c r="E42" s="482"/>
      <c r="F42" s="482"/>
      <c r="G42" s="482"/>
      <c r="H42" s="482"/>
      <c r="I42" s="482"/>
      <c r="J42" s="482"/>
      <c r="K42" s="482"/>
      <c r="L42" s="482"/>
      <c r="M42" s="482"/>
      <c r="N42" s="482"/>
      <c r="O42" s="482"/>
      <c r="P42" s="482"/>
      <c r="Q42" s="482"/>
    </row>
    <row r="43" spans="1:17">
      <c r="B43" s="482"/>
      <c r="C43" s="482"/>
      <c r="D43" s="482"/>
      <c r="E43" s="482"/>
      <c r="F43" s="482"/>
      <c r="G43" s="482"/>
      <c r="H43" s="482"/>
      <c r="I43" s="482"/>
      <c r="J43" s="482"/>
      <c r="K43" s="482"/>
      <c r="L43" s="482"/>
      <c r="M43" s="482"/>
      <c r="N43" s="482"/>
      <c r="O43" s="482"/>
      <c r="P43" s="482"/>
      <c r="Q43" s="482"/>
    </row>
    <row r="44" spans="1:17">
      <c r="B44" s="440"/>
      <c r="C44" s="440"/>
      <c r="D44" s="440"/>
      <c r="E44" s="440"/>
      <c r="F44" s="440"/>
      <c r="G44" s="440"/>
      <c r="H44" s="440"/>
      <c r="I44" s="440"/>
      <c r="J44" s="440"/>
      <c r="K44" s="440"/>
      <c r="L44" s="440"/>
      <c r="M44" s="440"/>
      <c r="N44" s="440"/>
      <c r="O44" s="440"/>
      <c r="P44" s="440"/>
      <c r="Q44" s="440"/>
    </row>
  </sheetData>
  <mergeCells count="1">
    <mergeCell ref="B41:Q44"/>
  </mergeCells>
  <phoneticPr fontId="14" type="noConversion"/>
  <pageMargins left="0.27" right="0.22" top="1" bottom="1" header="0.5" footer="0.5"/>
  <pageSetup scale="6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64"/>
  <sheetViews>
    <sheetView showGridLines="0" topLeftCell="A25" workbookViewId="0">
      <selection activeCell="G10" sqref="G10:G13"/>
    </sheetView>
  </sheetViews>
  <sheetFormatPr defaultColWidth="9.140625" defaultRowHeight="12"/>
  <cols>
    <col min="1" max="1" width="13.28515625" style="13" customWidth="1"/>
    <col min="2" max="2" width="13" style="1" customWidth="1"/>
    <col min="3" max="13" width="6.7109375" style="1" customWidth="1"/>
    <col min="14" max="16384" width="9.140625" style="1"/>
  </cols>
  <sheetData>
    <row r="1" spans="1:13">
      <c r="A1" s="14" t="s">
        <v>26</v>
      </c>
    </row>
    <row r="3" spans="1:13" s="2" customFormat="1">
      <c r="A3" s="3"/>
      <c r="B3" s="3" t="s">
        <v>22</v>
      </c>
      <c r="C3" s="3" t="s">
        <v>0</v>
      </c>
      <c r="D3" s="3" t="s">
        <v>1</v>
      </c>
      <c r="E3" s="3" t="s">
        <v>2</v>
      </c>
      <c r="F3" s="3" t="s">
        <v>3</v>
      </c>
      <c r="G3" s="3"/>
      <c r="H3" s="3" t="s">
        <v>4</v>
      </c>
      <c r="I3" s="3" t="s">
        <v>5</v>
      </c>
      <c r="J3" s="3" t="s">
        <v>6</v>
      </c>
      <c r="K3" s="3" t="s">
        <v>7</v>
      </c>
      <c r="L3" s="3" t="s">
        <v>8</v>
      </c>
      <c r="M3" s="3" t="s">
        <v>9</v>
      </c>
    </row>
    <row r="4" spans="1:13" s="2" customFormat="1">
      <c r="A4" s="3" t="s">
        <v>27</v>
      </c>
      <c r="B4" s="14" t="s">
        <v>29</v>
      </c>
      <c r="C4" s="3"/>
      <c r="D4" s="3" t="s">
        <v>11</v>
      </c>
      <c r="E4" s="3" t="s">
        <v>11</v>
      </c>
      <c r="F4" s="3" t="s">
        <v>11</v>
      </c>
      <c r="G4" s="3"/>
      <c r="H4" s="3" t="s">
        <v>11</v>
      </c>
      <c r="I4" s="3" t="s">
        <v>11</v>
      </c>
      <c r="J4" s="3" t="s">
        <v>11</v>
      </c>
      <c r="K4" s="3" t="s">
        <v>11</v>
      </c>
      <c r="L4" s="3" t="s">
        <v>11</v>
      </c>
      <c r="M4" s="3" t="s">
        <v>11</v>
      </c>
    </row>
    <row r="5" spans="1:13" ht="12.75" thickBot="1">
      <c r="A5" s="13" t="s">
        <v>28</v>
      </c>
      <c r="B5" s="22">
        <v>3120</v>
      </c>
      <c r="C5" s="23">
        <v>7.6</v>
      </c>
      <c r="D5" s="23">
        <v>347</v>
      </c>
      <c r="E5" s="23">
        <v>91</v>
      </c>
      <c r="F5" s="23">
        <v>482</v>
      </c>
      <c r="G5" s="23"/>
      <c r="H5" s="23">
        <v>210</v>
      </c>
      <c r="I5" s="23">
        <v>1410</v>
      </c>
      <c r="J5" s="23">
        <v>450</v>
      </c>
      <c r="K5" s="23">
        <v>0.3</v>
      </c>
      <c r="L5" s="23">
        <v>13</v>
      </c>
      <c r="M5" s="23">
        <v>4.5</v>
      </c>
    </row>
    <row r="6" spans="1:13">
      <c r="A6" s="24" t="s">
        <v>30</v>
      </c>
      <c r="B6" s="25"/>
      <c r="C6" s="26"/>
      <c r="D6" s="26">
        <v>240</v>
      </c>
      <c r="E6" s="26"/>
      <c r="F6" s="26"/>
      <c r="G6" s="26"/>
      <c r="H6" s="26"/>
      <c r="I6" s="26"/>
      <c r="J6" s="26"/>
      <c r="K6" s="26"/>
      <c r="L6" s="26"/>
      <c r="M6" s="27"/>
    </row>
    <row r="7" spans="1:13" ht="12.75" thickBot="1">
      <c r="A7" s="28" t="s">
        <v>31</v>
      </c>
      <c r="B7" s="29"/>
      <c r="C7" s="30"/>
      <c r="D7" s="30"/>
      <c r="E7" s="30"/>
      <c r="F7" s="30"/>
      <c r="G7" s="30"/>
      <c r="H7" s="30"/>
      <c r="I7" s="30"/>
      <c r="J7" s="30"/>
      <c r="K7" s="30"/>
      <c r="L7" s="30"/>
      <c r="M7" s="31"/>
    </row>
    <row r="8" spans="1:13">
      <c r="B8" s="13"/>
    </row>
    <row r="9" spans="1:13">
      <c r="A9" s="3"/>
      <c r="B9" s="3" t="s">
        <v>10</v>
      </c>
      <c r="C9" s="3" t="s">
        <v>0</v>
      </c>
      <c r="D9" s="3" t="s">
        <v>1</v>
      </c>
      <c r="E9" s="3" t="s">
        <v>2</v>
      </c>
      <c r="F9" s="3" t="s">
        <v>3</v>
      </c>
      <c r="G9" s="3"/>
      <c r="H9" s="3" t="s">
        <v>4</v>
      </c>
      <c r="I9" s="3" t="s">
        <v>5</v>
      </c>
      <c r="J9" s="3" t="s">
        <v>6</v>
      </c>
      <c r="K9" s="3" t="s">
        <v>7</v>
      </c>
      <c r="L9" s="3" t="s">
        <v>8</v>
      </c>
      <c r="M9" s="3" t="s">
        <v>9</v>
      </c>
    </row>
    <row r="10" spans="1:13">
      <c r="A10" s="3" t="s">
        <v>27</v>
      </c>
      <c r="B10" s="3" t="s">
        <v>12</v>
      </c>
      <c r="C10" s="3"/>
      <c r="D10" s="3" t="s">
        <v>13</v>
      </c>
      <c r="E10" s="3" t="s">
        <v>13</v>
      </c>
      <c r="F10" s="3" t="s">
        <v>13</v>
      </c>
      <c r="G10" s="314" t="s">
        <v>14</v>
      </c>
      <c r="H10" s="3" t="s">
        <v>13</v>
      </c>
      <c r="I10" s="3" t="s">
        <v>13</v>
      </c>
      <c r="J10" s="3" t="s">
        <v>13</v>
      </c>
      <c r="K10" s="3" t="s">
        <v>11</v>
      </c>
      <c r="L10" s="3" t="s">
        <v>11</v>
      </c>
      <c r="M10" s="3" t="s">
        <v>11</v>
      </c>
    </row>
    <row r="11" spans="1:13" ht="12.75" thickBot="1">
      <c r="A11" s="13" t="str">
        <f>A5</f>
        <v>Example</v>
      </c>
      <c r="B11" s="21">
        <f>B5/640</f>
        <v>4.875</v>
      </c>
      <c r="C11" s="12">
        <f>C5</f>
        <v>7.6</v>
      </c>
      <c r="D11" s="12">
        <f>D5/20</f>
        <v>17.350000000000001</v>
      </c>
      <c r="E11" s="12">
        <f>E5/24</f>
        <v>3.7916666666666665</v>
      </c>
      <c r="F11" s="12">
        <f>F5/23</f>
        <v>20.956521739130434</v>
      </c>
      <c r="G11" s="315">
        <f>F11/((D11+E11)/2)^0.5</f>
        <v>6.4456183861772871</v>
      </c>
      <c r="H11" s="12">
        <f>H5/61</f>
        <v>3.442622950819672</v>
      </c>
      <c r="I11" s="12">
        <f>I5/96</f>
        <v>14.6875</v>
      </c>
      <c r="J11" s="12">
        <f>J5/35</f>
        <v>12.857142857142858</v>
      </c>
      <c r="K11" s="5">
        <f t="shared" ref="K11:M13" si="0">K5</f>
        <v>0.3</v>
      </c>
      <c r="L11" s="5">
        <f t="shared" si="0"/>
        <v>13</v>
      </c>
      <c r="M11" s="6">
        <f t="shared" si="0"/>
        <v>4.5</v>
      </c>
    </row>
    <row r="12" spans="1:13">
      <c r="A12" s="24" t="s">
        <v>99</v>
      </c>
      <c r="B12" s="32">
        <f>B6/640</f>
        <v>0</v>
      </c>
      <c r="C12" s="33">
        <f>C6</f>
        <v>0</v>
      </c>
      <c r="D12" s="33">
        <f>D6/20</f>
        <v>12</v>
      </c>
      <c r="E12" s="33">
        <f>E6/24</f>
        <v>0</v>
      </c>
      <c r="F12" s="33">
        <f>F6/23</f>
        <v>0</v>
      </c>
      <c r="G12" s="316">
        <f>F12/((D12+E12)/2)^0.5</f>
        <v>0</v>
      </c>
      <c r="H12" s="33">
        <f>H6/61</f>
        <v>0</v>
      </c>
      <c r="I12" s="33">
        <f>I6/96</f>
        <v>0</v>
      </c>
      <c r="J12" s="33">
        <f>J6/35</f>
        <v>0</v>
      </c>
      <c r="K12" s="34">
        <f t="shared" si="0"/>
        <v>0</v>
      </c>
      <c r="L12" s="34">
        <f t="shared" si="0"/>
        <v>0</v>
      </c>
      <c r="M12" s="35">
        <f t="shared" si="0"/>
        <v>0</v>
      </c>
    </row>
    <row r="13" spans="1:13" ht="12.75" thickBot="1">
      <c r="A13" s="28" t="s">
        <v>100</v>
      </c>
      <c r="B13" s="36">
        <f>B7/640</f>
        <v>0</v>
      </c>
      <c r="C13" s="37">
        <f>C7</f>
        <v>0</v>
      </c>
      <c r="D13" s="37">
        <f>D7/20</f>
        <v>0</v>
      </c>
      <c r="E13" s="37">
        <f>E7/24</f>
        <v>0</v>
      </c>
      <c r="F13" s="37">
        <f>F7/23</f>
        <v>0</v>
      </c>
      <c r="G13" s="317" t="e">
        <f>F13/((D13+E13)/2)^0.5</f>
        <v>#DIV/0!</v>
      </c>
      <c r="H13" s="37">
        <f>H7/61</f>
        <v>0</v>
      </c>
      <c r="I13" s="37">
        <f>I7/96</f>
        <v>0</v>
      </c>
      <c r="J13" s="37">
        <f>J7/35</f>
        <v>0</v>
      </c>
      <c r="K13" s="38">
        <f t="shared" si="0"/>
        <v>0</v>
      </c>
      <c r="L13" s="38">
        <f t="shared" si="0"/>
        <v>0</v>
      </c>
      <c r="M13" s="39">
        <f t="shared" si="0"/>
        <v>0</v>
      </c>
    </row>
    <row r="15" spans="1:13">
      <c r="A15" s="15" t="s">
        <v>21</v>
      </c>
    </row>
    <row r="16" spans="1:13">
      <c r="A16" s="19"/>
      <c r="B16" s="5"/>
      <c r="C16" s="5"/>
      <c r="D16" s="5"/>
      <c r="E16" s="5"/>
      <c r="F16" s="5"/>
      <c r="G16" s="5"/>
      <c r="H16" s="5"/>
      <c r="I16" s="5"/>
      <c r="J16" s="5"/>
      <c r="K16" s="5"/>
      <c r="L16" s="5"/>
      <c r="M16" s="6"/>
    </row>
    <row r="17" spans="1:13">
      <c r="A17" s="20"/>
      <c r="M17" s="8"/>
    </row>
    <row r="18" spans="1:13">
      <c r="A18" s="20"/>
      <c r="M18" s="8"/>
    </row>
    <row r="19" spans="1:13">
      <c r="A19" s="20"/>
      <c r="M19" s="8"/>
    </row>
    <row r="20" spans="1:13">
      <c r="A20" s="16" t="s">
        <v>10</v>
      </c>
      <c r="B20" s="3" t="s">
        <v>12</v>
      </c>
      <c r="C20" s="1" t="s">
        <v>23</v>
      </c>
      <c r="M20" s="8"/>
    </row>
    <row r="21" spans="1:13" ht="13.5">
      <c r="A21" s="16" t="s">
        <v>0</v>
      </c>
      <c r="B21" s="3"/>
      <c r="C21" s="1" t="s">
        <v>15</v>
      </c>
      <c r="M21" s="8"/>
    </row>
    <row r="22" spans="1:13">
      <c r="A22" s="16" t="s">
        <v>1</v>
      </c>
      <c r="B22" s="3" t="s">
        <v>13</v>
      </c>
      <c r="C22" s="1" t="s">
        <v>16</v>
      </c>
      <c r="M22" s="8"/>
    </row>
    <row r="23" spans="1:13">
      <c r="A23" s="16" t="s">
        <v>2</v>
      </c>
      <c r="B23" s="3" t="s">
        <v>13</v>
      </c>
      <c r="C23" s="1" t="s">
        <v>17</v>
      </c>
      <c r="M23" s="8"/>
    </row>
    <row r="24" spans="1:13">
      <c r="A24" s="16" t="s">
        <v>3</v>
      </c>
      <c r="B24" s="3" t="s">
        <v>13</v>
      </c>
      <c r="C24" s="1" t="s">
        <v>24</v>
      </c>
      <c r="M24" s="8"/>
    </row>
    <row r="25" spans="1:13">
      <c r="A25" s="16"/>
      <c r="B25" s="3" t="s">
        <v>14</v>
      </c>
      <c r="M25" s="8"/>
    </row>
    <row r="26" spans="1:13">
      <c r="A26" s="16"/>
      <c r="B26" s="3"/>
      <c r="M26" s="8"/>
    </row>
    <row r="27" spans="1:13">
      <c r="A27" s="16"/>
      <c r="B27" s="3"/>
      <c r="M27" s="8"/>
    </row>
    <row r="28" spans="1:13">
      <c r="A28" s="16"/>
      <c r="B28" s="3"/>
      <c r="M28" s="8"/>
    </row>
    <row r="29" spans="1:13">
      <c r="A29" s="16"/>
      <c r="B29" s="3"/>
      <c r="M29" s="8"/>
    </row>
    <row r="30" spans="1:13">
      <c r="A30" s="16" t="s">
        <v>4</v>
      </c>
      <c r="B30" s="3" t="s">
        <v>13</v>
      </c>
      <c r="C30" s="1" t="s">
        <v>18</v>
      </c>
      <c r="M30" s="8"/>
    </row>
    <row r="31" spans="1:13">
      <c r="A31" s="16" t="s">
        <v>5</v>
      </c>
      <c r="B31" s="3" t="s">
        <v>13</v>
      </c>
      <c r="C31" s="1" t="s">
        <v>19</v>
      </c>
      <c r="M31" s="8"/>
    </row>
    <row r="32" spans="1:13">
      <c r="A32" s="16" t="s">
        <v>6</v>
      </c>
      <c r="B32" s="3" t="s">
        <v>13</v>
      </c>
      <c r="C32" s="1" t="s">
        <v>25</v>
      </c>
      <c r="M32" s="8"/>
    </row>
    <row r="33" spans="1:13">
      <c r="A33" s="16" t="s">
        <v>7</v>
      </c>
      <c r="B33" s="3" t="s">
        <v>11</v>
      </c>
      <c r="C33" s="1" t="s">
        <v>20</v>
      </c>
      <c r="M33" s="8"/>
    </row>
    <row r="34" spans="1:13">
      <c r="A34" s="16" t="s">
        <v>8</v>
      </c>
      <c r="B34" s="3" t="s">
        <v>11</v>
      </c>
      <c r="M34" s="8"/>
    </row>
    <row r="35" spans="1:13" ht="15.75" customHeight="1">
      <c r="A35" s="16"/>
      <c r="B35" s="3"/>
      <c r="M35" s="8"/>
    </row>
    <row r="36" spans="1:13">
      <c r="A36" s="16" t="s">
        <v>9</v>
      </c>
      <c r="B36" s="3" t="s">
        <v>11</v>
      </c>
      <c r="M36" s="8"/>
    </row>
    <row r="37" spans="1:13">
      <c r="A37" s="17"/>
      <c r="M37" s="8"/>
    </row>
    <row r="38" spans="1:13">
      <c r="A38" s="18"/>
      <c r="B38" s="10"/>
      <c r="C38" s="10"/>
      <c r="D38" s="10"/>
      <c r="E38" s="10"/>
      <c r="F38" s="10"/>
      <c r="G38" s="10"/>
      <c r="H38" s="10"/>
      <c r="I38" s="10"/>
      <c r="J38" s="10"/>
      <c r="K38" s="10"/>
      <c r="L38" s="10"/>
      <c r="M38" s="11"/>
    </row>
    <row r="40" spans="1:13">
      <c r="B40" s="4"/>
      <c r="C40" s="5"/>
      <c r="D40" s="5"/>
      <c r="E40" s="5"/>
      <c r="F40" s="5"/>
      <c r="G40" s="5"/>
      <c r="H40" s="5"/>
      <c r="I40" s="5"/>
      <c r="J40" s="5"/>
      <c r="K40" s="5"/>
      <c r="L40" s="6"/>
    </row>
    <row r="41" spans="1:13">
      <c r="B41" s="7"/>
      <c r="L41" s="8"/>
    </row>
    <row r="42" spans="1:13">
      <c r="B42" s="7"/>
      <c r="L42" s="8"/>
    </row>
    <row r="43" spans="1:13">
      <c r="B43" s="7"/>
      <c r="L43" s="8"/>
    </row>
    <row r="44" spans="1:13">
      <c r="B44" s="7"/>
      <c r="L44" s="8"/>
    </row>
    <row r="45" spans="1:13">
      <c r="B45" s="7"/>
      <c r="L45" s="8"/>
    </row>
    <row r="46" spans="1:13">
      <c r="B46" s="7"/>
      <c r="L46" s="8"/>
    </row>
    <row r="47" spans="1:13">
      <c r="B47" s="7"/>
      <c r="L47" s="8"/>
    </row>
    <row r="48" spans="1:13">
      <c r="B48" s="7"/>
      <c r="L48" s="8"/>
    </row>
    <row r="49" spans="2:12">
      <c r="B49" s="7"/>
      <c r="L49" s="8"/>
    </row>
    <row r="50" spans="2:12">
      <c r="B50" s="7"/>
      <c r="L50" s="8"/>
    </row>
    <row r="51" spans="2:12">
      <c r="B51" s="7"/>
      <c r="L51" s="8"/>
    </row>
    <row r="52" spans="2:12">
      <c r="B52" s="7"/>
      <c r="L52" s="8"/>
    </row>
    <row r="53" spans="2:12">
      <c r="B53" s="7"/>
      <c r="L53" s="8"/>
    </row>
    <row r="54" spans="2:12">
      <c r="B54" s="7"/>
      <c r="L54" s="8"/>
    </row>
    <row r="55" spans="2:12">
      <c r="B55" s="7"/>
      <c r="L55" s="8"/>
    </row>
    <row r="56" spans="2:12">
      <c r="B56" s="7"/>
      <c r="L56" s="8"/>
    </row>
    <row r="57" spans="2:12">
      <c r="B57" s="7"/>
      <c r="L57" s="8"/>
    </row>
    <row r="58" spans="2:12">
      <c r="B58" s="7"/>
      <c r="L58" s="8"/>
    </row>
    <row r="59" spans="2:12">
      <c r="B59" s="7"/>
      <c r="L59" s="8"/>
    </row>
    <row r="60" spans="2:12">
      <c r="B60" s="7"/>
      <c r="L60" s="8"/>
    </row>
    <row r="61" spans="2:12">
      <c r="B61" s="7"/>
      <c r="L61" s="8"/>
    </row>
    <row r="62" spans="2:12">
      <c r="B62" s="7"/>
      <c r="L62" s="8"/>
    </row>
    <row r="63" spans="2:12">
      <c r="B63" s="7"/>
      <c r="L63" s="8"/>
    </row>
    <row r="64" spans="2:12">
      <c r="B64" s="9"/>
      <c r="C64" s="10"/>
      <c r="D64" s="10"/>
      <c r="E64" s="10"/>
      <c r="F64" s="10"/>
      <c r="G64" s="10"/>
      <c r="H64" s="10"/>
      <c r="I64" s="10"/>
      <c r="J64" s="10"/>
      <c r="K64" s="10"/>
      <c r="L64" s="11"/>
    </row>
  </sheetData>
  <phoneticPr fontId="0" type="noConversion"/>
  <printOptions horizontalCentered="1" verticalCentered="1"/>
  <pageMargins left="0.19" right="0.18" top="0.31" bottom="0.26" header="0.18" footer="0.17"/>
  <pageSetup orientation="portrait" r:id="rId1"/>
  <headerFooter alignWithMargins="0"/>
  <drawing r:id="rId2"/>
  <legacyDrawing r:id="rId3"/>
  <oleObjects>
    <mc:AlternateContent xmlns:mc="http://schemas.openxmlformats.org/markup-compatibility/2006">
      <mc:Choice Requires="x14">
        <oleObject progId="Equation.3" shapeId="1025" r:id="rId4">
          <objectPr defaultSize="0" r:id="rId5">
            <anchor moveWithCells="1">
              <from>
                <xdr:col>2</xdr:col>
                <xdr:colOff>66675</xdr:colOff>
                <xdr:row>24</xdr:row>
                <xdr:rowOff>85725</xdr:rowOff>
              </from>
              <to>
                <xdr:col>4</xdr:col>
                <xdr:colOff>352425</xdr:colOff>
                <xdr:row>28</xdr:row>
                <xdr:rowOff>95250</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7"/>
  <sheetViews>
    <sheetView showGridLines="0" zoomScale="80" zoomScaleNormal="80" workbookViewId="0">
      <selection activeCell="N29" sqref="N29"/>
    </sheetView>
  </sheetViews>
  <sheetFormatPr defaultColWidth="11.7109375" defaultRowHeight="14.25"/>
  <cols>
    <col min="1" max="12" width="9.140625" customWidth="1"/>
    <col min="15" max="15" width="9.140625" customWidth="1"/>
    <col min="16" max="16" width="27.140625" style="255" customWidth="1"/>
    <col min="17" max="19" width="11" style="255" customWidth="1"/>
    <col min="20" max="25" width="6.28515625" style="241" customWidth="1"/>
    <col min="26" max="26" width="6" style="241" customWidth="1"/>
    <col min="27" max="16384" width="11.7109375" style="241"/>
  </cols>
  <sheetData>
    <row r="1" spans="16:25" ht="14.45" customHeight="1">
      <c r="P1" s="237"/>
      <c r="Q1" s="238"/>
      <c r="R1" s="238"/>
      <c r="S1" s="238"/>
      <c r="T1" s="239"/>
      <c r="U1" s="240"/>
      <c r="V1" s="239"/>
      <c r="W1" s="239"/>
      <c r="X1" s="239"/>
      <c r="Y1" s="239"/>
    </row>
    <row r="2" spans="16:25" ht="31.5" customHeight="1">
      <c r="P2" s="242" t="s">
        <v>175</v>
      </c>
      <c r="Q2" s="243" t="s">
        <v>176</v>
      </c>
      <c r="R2" s="243" t="s">
        <v>176</v>
      </c>
      <c r="S2" s="243"/>
      <c r="T2" s="417" t="s">
        <v>177</v>
      </c>
      <c r="U2" s="418"/>
      <c r="V2" s="418"/>
      <c r="W2" s="418"/>
      <c r="X2" s="418"/>
      <c r="Y2" s="419"/>
    </row>
    <row r="3" spans="16:25" ht="16.5" customHeight="1">
      <c r="P3" s="244"/>
      <c r="Q3" s="245" t="s">
        <v>178</v>
      </c>
      <c r="R3" s="245" t="s">
        <v>179</v>
      </c>
      <c r="S3" s="245" t="s">
        <v>180</v>
      </c>
      <c r="T3" s="246" t="s">
        <v>181</v>
      </c>
      <c r="U3" s="247"/>
      <c r="V3" s="246" t="s">
        <v>182</v>
      </c>
      <c r="W3" s="248"/>
      <c r="X3" s="246" t="s">
        <v>183</v>
      </c>
      <c r="Y3" s="247"/>
    </row>
    <row r="4" spans="16:25" ht="12.75" customHeight="1">
      <c r="P4" s="249" t="s">
        <v>184</v>
      </c>
      <c r="Q4" s="250" t="s">
        <v>36</v>
      </c>
      <c r="R4" s="250" t="s">
        <v>36</v>
      </c>
      <c r="S4" s="251" t="s">
        <v>185</v>
      </c>
      <c r="T4" s="252" t="s">
        <v>186</v>
      </c>
      <c r="U4" s="253" t="s">
        <v>187</v>
      </c>
      <c r="V4" s="252" t="s">
        <v>186</v>
      </c>
      <c r="W4" s="253" t="s">
        <v>188</v>
      </c>
      <c r="X4" s="252" t="s">
        <v>186</v>
      </c>
      <c r="Y4" s="253" t="s">
        <v>188</v>
      </c>
    </row>
    <row r="5" spans="16:25" ht="15.75" customHeight="1">
      <c r="P5" s="254" t="s">
        <v>189</v>
      </c>
      <c r="Q5" s="255">
        <v>50</v>
      </c>
      <c r="R5" s="255">
        <v>8</v>
      </c>
      <c r="S5" s="256">
        <v>15</v>
      </c>
      <c r="T5" s="257">
        <f>1/((1-R5/100)*Q5/100)</f>
        <v>2.1739130434782608</v>
      </c>
      <c r="U5" s="258">
        <f>T5*$S5+T5*12+IF(T5&lt;3,14,14+4.5*(T5-3))</f>
        <v>72.695652173913047</v>
      </c>
      <c r="V5" s="259">
        <f t="shared" ref="V5:V15" si="0">T5*2</f>
        <v>4.3478260869565215</v>
      </c>
      <c r="W5" s="258">
        <f>V5*$S5+V5*12+IF(V5&lt;3,14,14+4.5*(V5-3))</f>
        <v>137.45652173913044</v>
      </c>
      <c r="X5" s="260">
        <f t="shared" ref="X5:X15" si="1">V5*2</f>
        <v>8.695652173913043</v>
      </c>
      <c r="Y5" s="258">
        <f>X5*$S5+X5*12+IF(X5&lt;3,14,14+4.5*(X5-3))</f>
        <v>274.41304347826087</v>
      </c>
    </row>
    <row r="6" spans="16:25" ht="15.75" customHeight="1">
      <c r="P6" s="254" t="s">
        <v>190</v>
      </c>
      <c r="Q6" s="255">
        <v>75</v>
      </c>
      <c r="R6" s="255">
        <v>4</v>
      </c>
      <c r="S6" s="256">
        <v>28</v>
      </c>
      <c r="T6" s="260">
        <f>1/((1-R6/100)*Q6/100)</f>
        <v>1.3888888888888888</v>
      </c>
      <c r="U6" s="261">
        <f>T6*$S6+T6*12+IF(T6&lt;3,14,14+4.5*(T6-3))</f>
        <v>69.555555555555543</v>
      </c>
      <c r="V6" s="259">
        <f t="shared" si="0"/>
        <v>2.7777777777777777</v>
      </c>
      <c r="W6" s="261">
        <f>V6*$S6+V6*12+IF(V6&lt;3,14,14+4.5*(V6-3))</f>
        <v>125.1111111111111</v>
      </c>
      <c r="X6" s="260">
        <f t="shared" si="1"/>
        <v>5.5555555555555554</v>
      </c>
      <c r="Y6" s="261">
        <f>X6*$S6+X6*12+IF(X6&lt;3,14,14+4.5*(X6-3))</f>
        <v>247.7222222222222</v>
      </c>
    </row>
    <row r="7" spans="16:25" ht="15.75" customHeight="1">
      <c r="P7" s="254" t="s">
        <v>191</v>
      </c>
      <c r="Q7" s="255">
        <v>92</v>
      </c>
      <c r="R7" s="255">
        <v>3</v>
      </c>
      <c r="S7" s="256">
        <v>110</v>
      </c>
      <c r="T7" s="260">
        <f>1/((1-R7/100)*Q7/100)</f>
        <v>1.1205737337516808</v>
      </c>
      <c r="U7" s="261">
        <f>T7*$S7</f>
        <v>123.26311071268489</v>
      </c>
      <c r="V7" s="259">
        <f t="shared" si="0"/>
        <v>2.2411474675033616</v>
      </c>
      <c r="W7" s="261">
        <f>V7*$S7</f>
        <v>246.52622142536978</v>
      </c>
      <c r="X7" s="260">
        <f t="shared" si="1"/>
        <v>4.4822949350067232</v>
      </c>
      <c r="Y7" s="261">
        <f>X7*$S7</f>
        <v>493.05244285073957</v>
      </c>
    </row>
    <row r="8" spans="16:25" ht="15.75" customHeight="1">
      <c r="P8" s="254" t="s">
        <v>192</v>
      </c>
      <c r="Q8" s="255">
        <v>92</v>
      </c>
      <c r="R8" s="255">
        <v>5</v>
      </c>
      <c r="S8" s="256">
        <v>35</v>
      </c>
      <c r="T8" s="260">
        <f>1/((1-R8/100)*Q8/100)</f>
        <v>1.1441647597254005</v>
      </c>
      <c r="U8" s="261">
        <f>T8*$S8+T8*12+IF(T8&lt;3,14,14+4.5*(T8-3))</f>
        <v>67.775743707093824</v>
      </c>
      <c r="V8" s="259">
        <f t="shared" si="0"/>
        <v>2.2883295194508011</v>
      </c>
      <c r="W8" s="261">
        <f>V8*$S8+V8*12+IF(V8&lt;3,14,14+4.5*(V8-3))</f>
        <v>121.55148741418765</v>
      </c>
      <c r="X8" s="260">
        <f t="shared" si="1"/>
        <v>4.5766590389016022</v>
      </c>
      <c r="Y8" s="261">
        <f>X8*$S8+X8*12+IF(X8&lt;3,14,14+4.5*(X8-3))</f>
        <v>236.19794050343251</v>
      </c>
    </row>
    <row r="9" spans="16:25" ht="15.75" customHeight="1">
      <c r="P9" s="254" t="s">
        <v>193</v>
      </c>
      <c r="Q9" s="255">
        <v>99</v>
      </c>
      <c r="R9" s="255">
        <v>6</v>
      </c>
      <c r="S9" s="256">
        <v>210</v>
      </c>
      <c r="T9" s="260">
        <f>1/((1-R9/100)*Q9/100)/5.37</f>
        <v>0.20010717740421771</v>
      </c>
      <c r="U9" s="261">
        <f>T9*$S9+T9*12+IF(T9&lt;3,14,14+4.5*(T9-3))</f>
        <v>58.423793383736331</v>
      </c>
      <c r="V9" s="259">
        <f t="shared" si="0"/>
        <v>0.40021435480843542</v>
      </c>
      <c r="W9" s="261">
        <f>V9*$S9+V9*12+IF(V9&lt;3,14,14+4.5*(V9-3))</f>
        <v>102.84758676747266</v>
      </c>
      <c r="X9" s="260">
        <f t="shared" si="1"/>
        <v>0.80042870961687085</v>
      </c>
      <c r="Y9" s="261">
        <f>X9*$S9+X9*12+IF(X9&lt;3,14,14+4.5*(X9-3))</f>
        <v>191.69517353494533</v>
      </c>
    </row>
    <row r="10" spans="16:25" ht="15.75" customHeight="1">
      <c r="P10" s="254" t="s">
        <v>194</v>
      </c>
      <c r="Q10" s="255">
        <v>99</v>
      </c>
      <c r="R10" s="255">
        <v>2</v>
      </c>
      <c r="S10" s="256">
        <v>550</v>
      </c>
      <c r="T10" s="260">
        <f>1/((1-R10/100)*Q10/100)/5.37</f>
        <v>0.19193953751016798</v>
      </c>
      <c r="U10" s="261">
        <f>T10*$S10+T10*12+IF(T10&lt;3,14,14+4.5*(T10-3))</f>
        <v>121.87002008071441</v>
      </c>
      <c r="V10" s="259">
        <f t="shared" si="0"/>
        <v>0.38387907502033597</v>
      </c>
      <c r="W10" s="261">
        <f>V10*$S10+V10*12+IF(V10&lt;3,14,14+4.5*(V10-3))</f>
        <v>229.74004016142882</v>
      </c>
      <c r="X10" s="260">
        <f t="shared" si="1"/>
        <v>0.76775815004067194</v>
      </c>
      <c r="Y10" s="261">
        <f>X10*$S10+X10*12+IF(X10&lt;3,14,14+4.5*(X10-3))</f>
        <v>445.48008032285765</v>
      </c>
    </row>
    <row r="11" spans="16:25" ht="15.75" customHeight="1">
      <c r="P11" s="254" t="s">
        <v>195</v>
      </c>
      <c r="Q11" s="255">
        <v>98</v>
      </c>
      <c r="R11" s="255" t="s">
        <v>196</v>
      </c>
      <c r="S11" s="256">
        <v>450</v>
      </c>
      <c r="T11" s="260">
        <f>1/($Q11/100)*(3.06/5.37)</f>
        <v>0.58146163493330294</v>
      </c>
      <c r="U11" s="261">
        <f>T11*$S11+T11*12</f>
        <v>268.63527533918597</v>
      </c>
      <c r="V11" s="259">
        <f t="shared" si="0"/>
        <v>1.1629232698666059</v>
      </c>
      <c r="W11" s="261">
        <f>V11*$S11+V11*12</f>
        <v>537.27055067837193</v>
      </c>
      <c r="X11" s="260">
        <f t="shared" si="1"/>
        <v>2.3258465397332118</v>
      </c>
      <c r="Y11" s="261">
        <f>X11*$S11+X11*12</f>
        <v>1074.5411013567439</v>
      </c>
    </row>
    <row r="12" spans="16:25" ht="15.75" customHeight="1">
      <c r="P12" s="254" t="s">
        <v>197</v>
      </c>
      <c r="Q12" s="262" t="s">
        <v>198</v>
      </c>
      <c r="R12" s="255" t="s">
        <v>196</v>
      </c>
      <c r="S12" s="256">
        <v>475</v>
      </c>
      <c r="T12" s="260">
        <f>1/5.37*2.52</f>
        <v>0.46927374301675978</v>
      </c>
      <c r="U12" s="261">
        <f>T12*$S12</f>
        <v>222.90502793296091</v>
      </c>
      <c r="V12" s="259">
        <f t="shared" si="0"/>
        <v>0.93854748603351956</v>
      </c>
      <c r="W12" s="261">
        <f>V12*$S12</f>
        <v>445.81005586592181</v>
      </c>
      <c r="X12" s="260">
        <f t="shared" si="1"/>
        <v>1.8770949720670391</v>
      </c>
      <c r="Y12" s="261">
        <f>X12*$S12</f>
        <v>891.62011173184362</v>
      </c>
    </row>
    <row r="13" spans="16:25" ht="15.75" customHeight="1">
      <c r="P13" s="254" t="s">
        <v>199</v>
      </c>
      <c r="Q13" s="262" t="s">
        <v>200</v>
      </c>
      <c r="R13" s="255" t="s">
        <v>196</v>
      </c>
      <c r="S13" s="256">
        <v>455</v>
      </c>
      <c r="T13" s="260">
        <v>0.66900000000000004</v>
      </c>
      <c r="U13" s="261">
        <f>T13*$S13</f>
        <v>304.39500000000004</v>
      </c>
      <c r="V13" s="259">
        <f t="shared" si="0"/>
        <v>1.3380000000000001</v>
      </c>
      <c r="W13" s="261">
        <f>V13*$S13</f>
        <v>608.79000000000008</v>
      </c>
      <c r="X13" s="260">
        <f t="shared" si="1"/>
        <v>2.6760000000000002</v>
      </c>
      <c r="Y13" s="261">
        <f>X13*$S13</f>
        <v>1217.5800000000002</v>
      </c>
    </row>
    <row r="14" spans="16:25" ht="15.75" customHeight="1">
      <c r="P14" s="254" t="s">
        <v>201</v>
      </c>
      <c r="Q14" s="262" t="s">
        <v>202</v>
      </c>
      <c r="R14" s="255" t="s">
        <v>196</v>
      </c>
      <c r="S14" s="256">
        <v>530</v>
      </c>
      <c r="T14" s="260">
        <v>0.63400000000000001</v>
      </c>
      <c r="U14" s="261">
        <f>T14*$S14</f>
        <v>336.02</v>
      </c>
      <c r="V14" s="259">
        <f t="shared" si="0"/>
        <v>1.268</v>
      </c>
      <c r="W14" s="261">
        <f>V14*$S14</f>
        <v>672.04</v>
      </c>
      <c r="X14" s="260">
        <f t="shared" si="1"/>
        <v>2.536</v>
      </c>
      <c r="Y14" s="261">
        <f>X14*$S14</f>
        <v>1344.08</v>
      </c>
    </row>
    <row r="15" spans="16:25" ht="17.25" customHeight="1" thickBot="1">
      <c r="P15" s="263" t="s">
        <v>203</v>
      </c>
      <c r="Q15" s="264">
        <v>60</v>
      </c>
      <c r="R15" s="264">
        <v>10</v>
      </c>
      <c r="S15" s="265">
        <v>52</v>
      </c>
      <c r="T15" s="266">
        <f>1/((1-R15/100)*Q15/100)/1.72</f>
        <v>1.0766580534022394</v>
      </c>
      <c r="U15" s="267">
        <f>T15*$S15+T15*12+IF(T15&lt;3,14,14+4.5*(T15-3))</f>
        <v>82.906115417743322</v>
      </c>
      <c r="V15" s="268">
        <f t="shared" si="0"/>
        <v>2.1533161068044788</v>
      </c>
      <c r="W15" s="267">
        <f>V15*$S15+V15*12+IF(V15&lt;3,14,14+4.5*(V15-3))</f>
        <v>151.81223083548664</v>
      </c>
      <c r="X15" s="266">
        <f t="shared" si="1"/>
        <v>4.3066322136089576</v>
      </c>
      <c r="Y15" s="267">
        <f>X15*$S15+X15*12+IF(X15&lt;3,14,14+4.5*(X15-3))</f>
        <v>295.50430663221357</v>
      </c>
    </row>
    <row r="16" spans="16:25">
      <c r="P16" s="269" t="s">
        <v>204</v>
      </c>
      <c r="Y16" s="270"/>
    </row>
    <row r="17" spans="16:25">
      <c r="P17" s="271" t="s">
        <v>205</v>
      </c>
      <c r="Q17" s="272"/>
      <c r="R17" s="272"/>
      <c r="S17" s="272"/>
      <c r="T17" s="273"/>
      <c r="U17" s="273"/>
      <c r="V17" s="273"/>
      <c r="W17" s="273"/>
      <c r="X17" s="273"/>
      <c r="Y17" s="274"/>
    </row>
  </sheetData>
  <mergeCells count="1">
    <mergeCell ref="T2:Y2"/>
  </mergeCells>
  <printOptions gridLinesSet="0"/>
  <pageMargins left="0.75" right="0.75" top="1" bottom="1" header="0.5" footer="0.5"/>
  <pageSetup orientation="landscape" r:id="rId1"/>
  <headerFooter alignWithMargins="0">
    <oddHeader>&amp;F</oddHeader>
    <oddFooter>Page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46"/>
  <sheetViews>
    <sheetView zoomScaleNormal="100" zoomScaleSheetLayoutView="90" workbookViewId="0">
      <selection activeCell="L2" sqref="L2"/>
    </sheetView>
  </sheetViews>
  <sheetFormatPr defaultRowHeight="12.75"/>
  <cols>
    <col min="2" max="2" width="9" customWidth="1"/>
    <col min="3" max="4" width="7.140625" customWidth="1"/>
    <col min="5" max="5" width="9.140625" customWidth="1"/>
    <col min="6" max="6" width="7.140625" customWidth="1"/>
    <col min="7" max="7" width="7.5703125" customWidth="1"/>
    <col min="8" max="8" width="5.85546875" customWidth="1"/>
    <col min="9" max="9" width="6.5703125" customWidth="1"/>
    <col min="10" max="10" width="7" customWidth="1"/>
    <col min="11" max="11" width="8" customWidth="1"/>
    <col min="12" max="12" width="8.42578125" customWidth="1"/>
    <col min="13" max="13" width="9.28515625" customWidth="1"/>
    <col min="15" max="15" width="10.5703125" customWidth="1"/>
  </cols>
  <sheetData>
    <row r="1" spans="1:21" ht="15.75">
      <c r="A1" s="40" t="s">
        <v>53</v>
      </c>
    </row>
    <row r="2" spans="1:21" ht="15.75">
      <c r="A2" s="40"/>
      <c r="B2" s="40" t="s">
        <v>52</v>
      </c>
      <c r="Q2" s="147" t="s">
        <v>51</v>
      </c>
    </row>
    <row r="3" spans="1:21" ht="15.75">
      <c r="B3" t="s">
        <v>32</v>
      </c>
      <c r="Q3" s="147" t="s">
        <v>54</v>
      </c>
    </row>
    <row r="4" spans="1:21" ht="15.75">
      <c r="Q4" s="147" t="s">
        <v>132</v>
      </c>
    </row>
    <row r="5" spans="1:21" ht="13.5" thickBot="1">
      <c r="C5" s="41" t="s">
        <v>33</v>
      </c>
      <c r="N5" s="427" t="s">
        <v>110</v>
      </c>
      <c r="O5" s="433"/>
    </row>
    <row r="6" spans="1:21" s="42" customFormat="1" ht="13.5" thickBot="1">
      <c r="B6" s="3" t="s">
        <v>111</v>
      </c>
      <c r="C6" s="428" t="s">
        <v>34</v>
      </c>
      <c r="D6" s="434"/>
      <c r="E6" s="434"/>
      <c r="F6" s="434"/>
      <c r="G6" s="434"/>
      <c r="H6" s="435"/>
      <c r="N6" s="433"/>
      <c r="O6" s="433"/>
      <c r="S6" s="290" t="s">
        <v>164</v>
      </c>
      <c r="T6" s="295" t="s">
        <v>210</v>
      </c>
      <c r="U6" s="296"/>
    </row>
    <row r="7" spans="1:21" s="42" customFormat="1" ht="12">
      <c r="A7" s="43" t="s">
        <v>35</v>
      </c>
      <c r="B7" s="2" t="s">
        <v>112</v>
      </c>
      <c r="C7" s="44" t="s">
        <v>36</v>
      </c>
      <c r="D7" s="3"/>
      <c r="E7" s="3" t="s">
        <v>37</v>
      </c>
      <c r="F7" s="428" t="s">
        <v>38</v>
      </c>
      <c r="G7" s="429"/>
      <c r="H7" s="430"/>
      <c r="I7" s="2"/>
      <c r="J7" s="2"/>
      <c r="K7" s="2"/>
      <c r="L7" s="3" t="s">
        <v>39</v>
      </c>
      <c r="M7" s="2" t="s">
        <v>40</v>
      </c>
      <c r="N7" s="431" t="s">
        <v>113</v>
      </c>
      <c r="O7" s="431" t="s">
        <v>114</v>
      </c>
      <c r="S7" s="291" t="s">
        <v>165</v>
      </c>
      <c r="T7" s="330" t="s">
        <v>227</v>
      </c>
      <c r="U7" s="331" t="s">
        <v>228</v>
      </c>
    </row>
    <row r="8" spans="1:21" s="46" customFormat="1" ht="15.75" customHeight="1" thickBot="1">
      <c r="A8" s="43" t="s">
        <v>41</v>
      </c>
      <c r="B8" s="43" t="s">
        <v>115</v>
      </c>
      <c r="C8" s="45" t="s">
        <v>42</v>
      </c>
      <c r="D8" s="43" t="s">
        <v>0</v>
      </c>
      <c r="E8" s="43" t="s">
        <v>10</v>
      </c>
      <c r="F8" s="28" t="s">
        <v>1</v>
      </c>
      <c r="G8" s="144" t="s">
        <v>2</v>
      </c>
      <c r="H8" s="145" t="s">
        <v>3</v>
      </c>
      <c r="I8" s="43" t="s">
        <v>14</v>
      </c>
      <c r="J8" s="43" t="s">
        <v>43</v>
      </c>
      <c r="K8" s="43" t="s">
        <v>208</v>
      </c>
      <c r="L8" s="43" t="s">
        <v>44</v>
      </c>
      <c r="M8" s="43" t="s">
        <v>10</v>
      </c>
      <c r="N8" s="436"/>
      <c r="O8" s="436"/>
      <c r="Q8" s="42"/>
      <c r="S8" s="292">
        <v>0.1</v>
      </c>
      <c r="T8" s="297"/>
      <c r="U8" s="298"/>
    </row>
    <row r="9" spans="1:21" s="47" customFormat="1" ht="15.75" customHeight="1">
      <c r="A9" s="47" t="s">
        <v>45</v>
      </c>
      <c r="B9" s="47">
        <v>12</v>
      </c>
      <c r="C9" s="48">
        <v>40</v>
      </c>
      <c r="D9" s="49">
        <v>7.9</v>
      </c>
      <c r="E9" s="47">
        <v>5.5</v>
      </c>
      <c r="F9" s="47">
        <v>34.200000000000003</v>
      </c>
      <c r="G9" s="47">
        <v>4.5999999999999996</v>
      </c>
      <c r="H9" s="50">
        <v>21.7</v>
      </c>
      <c r="I9" s="49">
        <f>H9/(((F9+G9)/2)^0.5)</f>
        <v>4.9267312096735223</v>
      </c>
      <c r="J9" s="49">
        <f>100*(0.01475*I9-0.0126)/(1+(0.01475*I9-0.0126))</f>
        <v>5.6665433262945717</v>
      </c>
      <c r="K9" s="51">
        <f>J9/E9</f>
        <v>1.0302806047808313</v>
      </c>
      <c r="L9" s="47">
        <v>3</v>
      </c>
      <c r="M9" s="51">
        <f>L9/E9</f>
        <v>0.54545454545454541</v>
      </c>
      <c r="N9" s="52">
        <f>IF(M9&lt;1,0.15/M9,0)</f>
        <v>0.27500000000000002</v>
      </c>
      <c r="O9" s="52">
        <f>N9*B9</f>
        <v>3.3000000000000003</v>
      </c>
      <c r="Q9" s="42"/>
      <c r="S9" s="292">
        <v>0.2</v>
      </c>
      <c r="T9" s="297">
        <f t="shared" ref="T9:T20" si="0">0.15/S9</f>
        <v>0.74999999999999989</v>
      </c>
      <c r="U9" s="299"/>
    </row>
    <row r="10" spans="1:21" s="47" customFormat="1" ht="15.75" customHeight="1">
      <c r="A10" s="47" t="s">
        <v>46</v>
      </c>
      <c r="B10" s="47">
        <v>12</v>
      </c>
      <c r="C10" s="48">
        <v>45</v>
      </c>
      <c r="D10" s="49">
        <v>8</v>
      </c>
      <c r="E10" s="47">
        <v>6.7</v>
      </c>
      <c r="F10" s="47">
        <v>29.9</v>
      </c>
      <c r="G10" s="47">
        <v>4.3</v>
      </c>
      <c r="H10" s="50">
        <v>39.6</v>
      </c>
      <c r="I10" s="49">
        <f>H10/(((F10+G10)/2)^0.5)</f>
        <v>9.5762865014521559</v>
      </c>
      <c r="J10" s="49">
        <f>100*(0.01475*I10-0.0126)/(1+(0.01475*I10-0.0126))</f>
        <v>11.398591250379638</v>
      </c>
      <c r="K10" s="49">
        <f>J10/E10</f>
        <v>1.7012822761760653</v>
      </c>
      <c r="L10" s="47">
        <v>3</v>
      </c>
      <c r="M10" s="51">
        <f>L10/E10</f>
        <v>0.44776119402985076</v>
      </c>
      <c r="N10" s="52">
        <f t="shared" ref="N10:N11" si="1">IF(M10&lt;1,0.15/M10,0)</f>
        <v>0.33499999999999996</v>
      </c>
      <c r="O10" s="52">
        <f>N10*B10</f>
        <v>4.0199999999999996</v>
      </c>
      <c r="Q10" s="42"/>
      <c r="S10" s="292">
        <v>0.3</v>
      </c>
      <c r="T10" s="297">
        <f t="shared" si="0"/>
        <v>0.5</v>
      </c>
      <c r="U10" s="299">
        <f>0.3/S10</f>
        <v>1</v>
      </c>
    </row>
    <row r="11" spans="1:21" s="47" customFormat="1" ht="15.75" customHeight="1" thickBot="1">
      <c r="A11" s="47" t="s">
        <v>47</v>
      </c>
      <c r="B11" s="47">
        <v>12</v>
      </c>
      <c r="C11" s="53">
        <v>45</v>
      </c>
      <c r="D11" s="54">
        <v>8</v>
      </c>
      <c r="E11" s="55">
        <v>7.3</v>
      </c>
      <c r="F11" s="55">
        <v>25.1</v>
      </c>
      <c r="G11" s="55">
        <v>4</v>
      </c>
      <c r="H11" s="56">
        <v>51.8</v>
      </c>
      <c r="I11" s="143">
        <f>H11/(((F11+G11)/2)^0.5)</f>
        <v>13.579952881910675</v>
      </c>
      <c r="J11" s="49">
        <f>100*(0.01475*I11-0.0126)/(1+(0.01475*I11-0.0126))</f>
        <v>15.803959303396589</v>
      </c>
      <c r="K11" s="49">
        <f>J11/E11</f>
        <v>2.1649259319721357</v>
      </c>
      <c r="L11" s="47">
        <v>3</v>
      </c>
      <c r="M11" s="51">
        <f>L11/E11</f>
        <v>0.41095890410958907</v>
      </c>
      <c r="N11" s="52">
        <f t="shared" si="1"/>
        <v>0.36499999999999994</v>
      </c>
      <c r="O11" s="52">
        <f>N11*B11</f>
        <v>4.379999999999999</v>
      </c>
      <c r="Q11" s="42"/>
      <c r="S11" s="293">
        <f>S10+0.1</f>
        <v>0.4</v>
      </c>
      <c r="T11" s="297">
        <f t="shared" si="0"/>
        <v>0.37499999999999994</v>
      </c>
      <c r="U11" s="299">
        <f t="shared" ref="U11:U20" si="2">0.3/S11</f>
        <v>0.74999999999999989</v>
      </c>
    </row>
    <row r="12" spans="1:21" ht="15" customHeight="1" thickBot="1">
      <c r="G12" s="57"/>
      <c r="H12" s="58"/>
      <c r="I12" s="58"/>
      <c r="J12" s="59"/>
      <c r="K12" s="60"/>
      <c r="L12" s="59"/>
      <c r="M12" s="59"/>
      <c r="N12" s="61" t="s">
        <v>116</v>
      </c>
      <c r="O12" s="62">
        <f>SUM(O9:O11)</f>
        <v>11.7</v>
      </c>
      <c r="Q12" s="47"/>
      <c r="R12" s="47"/>
      <c r="S12" s="293">
        <f t="shared" ref="S12:S17" si="3">S11+0.1</f>
        <v>0.5</v>
      </c>
      <c r="T12" s="297">
        <f t="shared" si="0"/>
        <v>0.3</v>
      </c>
      <c r="U12" s="299">
        <f t="shared" si="2"/>
        <v>0.6</v>
      </c>
    </row>
    <row r="13" spans="1:21" ht="15.75" customHeight="1">
      <c r="L13" s="63"/>
      <c r="M13" s="65"/>
      <c r="S13" s="293">
        <f t="shared" si="3"/>
        <v>0.6</v>
      </c>
      <c r="T13" s="297">
        <f t="shared" si="0"/>
        <v>0.25</v>
      </c>
      <c r="U13" s="299">
        <f t="shared" si="2"/>
        <v>0.5</v>
      </c>
    </row>
    <row r="14" spans="1:21" ht="19.5" customHeight="1" thickBot="1">
      <c r="C14" s="276" t="s">
        <v>206</v>
      </c>
      <c r="N14" s="427" t="s">
        <v>110</v>
      </c>
      <c r="O14" s="427"/>
      <c r="S14" s="293">
        <f t="shared" si="3"/>
        <v>0.7</v>
      </c>
      <c r="T14" s="297">
        <f t="shared" si="0"/>
        <v>0.2142857142857143</v>
      </c>
      <c r="U14" s="299">
        <f t="shared" si="2"/>
        <v>0.4285714285714286</v>
      </c>
    </row>
    <row r="15" spans="1:21" s="42" customFormat="1" ht="13.5" thickBot="1">
      <c r="A15" s="3" t="s">
        <v>117</v>
      </c>
      <c r="B15" s="3" t="s">
        <v>111</v>
      </c>
      <c r="C15" s="428" t="s">
        <v>34</v>
      </c>
      <c r="D15" s="429"/>
      <c r="E15" s="429"/>
      <c r="F15" s="429"/>
      <c r="G15" s="429"/>
      <c r="H15" s="430"/>
      <c r="N15" s="427"/>
      <c r="O15" s="427"/>
      <c r="S15" s="293">
        <f t="shared" si="3"/>
        <v>0.79999999999999993</v>
      </c>
      <c r="T15" s="297">
        <f t="shared" si="0"/>
        <v>0.1875</v>
      </c>
      <c r="U15" s="299">
        <f t="shared" si="2"/>
        <v>0.375</v>
      </c>
    </row>
    <row r="16" spans="1:21" s="42" customFormat="1" ht="12" customHeight="1">
      <c r="A16" s="43" t="s">
        <v>118</v>
      </c>
      <c r="B16" s="2" t="s">
        <v>112</v>
      </c>
      <c r="C16" s="44" t="s">
        <v>36</v>
      </c>
      <c r="D16" s="3"/>
      <c r="E16" s="3" t="s">
        <v>37</v>
      </c>
      <c r="F16" s="428" t="s">
        <v>38</v>
      </c>
      <c r="G16" s="429"/>
      <c r="H16" s="430"/>
      <c r="I16" s="2"/>
      <c r="J16" s="2"/>
      <c r="K16" s="2"/>
      <c r="L16" s="3" t="s">
        <v>39</v>
      </c>
      <c r="M16" s="2" t="s">
        <v>40</v>
      </c>
      <c r="N16" s="431" t="s">
        <v>113</v>
      </c>
      <c r="O16" s="431" t="s">
        <v>114</v>
      </c>
      <c r="S16" s="293">
        <f t="shared" si="3"/>
        <v>0.89999999999999991</v>
      </c>
      <c r="T16" s="297">
        <f t="shared" si="0"/>
        <v>0.16666666666666669</v>
      </c>
      <c r="U16" s="299">
        <f t="shared" si="2"/>
        <v>0.33333333333333337</v>
      </c>
    </row>
    <row r="17" spans="1:25" s="46" customFormat="1" ht="15.75" customHeight="1" thickBot="1">
      <c r="A17" s="43" t="s">
        <v>41</v>
      </c>
      <c r="B17" s="43" t="s">
        <v>115</v>
      </c>
      <c r="C17" s="45" t="s">
        <v>42</v>
      </c>
      <c r="D17" s="43" t="s">
        <v>0</v>
      </c>
      <c r="E17" s="43" t="s">
        <v>10</v>
      </c>
      <c r="F17" s="28" t="s">
        <v>1</v>
      </c>
      <c r="G17" s="144" t="s">
        <v>2</v>
      </c>
      <c r="H17" s="145" t="s">
        <v>3</v>
      </c>
      <c r="I17" s="43" t="s">
        <v>14</v>
      </c>
      <c r="J17" s="43" t="s">
        <v>43</v>
      </c>
      <c r="K17" s="43" t="s">
        <v>208</v>
      </c>
      <c r="L17" s="43" t="s">
        <v>44</v>
      </c>
      <c r="M17" s="43" t="s">
        <v>10</v>
      </c>
      <c r="N17" s="432"/>
      <c r="O17" s="432"/>
      <c r="S17" s="293">
        <f t="shared" si="3"/>
        <v>0.99999999999999989</v>
      </c>
      <c r="T17" s="297">
        <f t="shared" si="0"/>
        <v>0.15000000000000002</v>
      </c>
      <c r="U17" s="299">
        <f t="shared" si="2"/>
        <v>0.30000000000000004</v>
      </c>
    </row>
    <row r="18" spans="1:25" s="47" customFormat="1" ht="15.75" customHeight="1">
      <c r="A18" s="47" t="s">
        <v>45</v>
      </c>
      <c r="B18" s="47">
        <v>12</v>
      </c>
      <c r="C18" s="150"/>
      <c r="D18" s="49"/>
      <c r="E18" s="49"/>
      <c r="F18" s="49"/>
      <c r="G18" s="49"/>
      <c r="H18" s="149"/>
      <c r="I18" s="49" t="e">
        <f>H18/(((F18+G18)/2)^0.5)</f>
        <v>#DIV/0!</v>
      </c>
      <c r="J18" s="49" t="e">
        <f>100*(0.01475*I18-0.0126)/(1+(0.01475*I18-0.0126))</f>
        <v>#DIV/0!</v>
      </c>
      <c r="K18" s="49" t="e">
        <f>J18/E18</f>
        <v>#DIV/0!</v>
      </c>
      <c r="M18" s="51" t="e">
        <f>L18/E18</f>
        <v>#DIV/0!</v>
      </c>
      <c r="N18" s="52" t="e">
        <f>IF(M18&lt;1,0.15/M18,0)</f>
        <v>#DIV/0!</v>
      </c>
      <c r="O18" s="52" t="e">
        <f>N18*B18</f>
        <v>#DIV/0!</v>
      </c>
      <c r="R18" s="46"/>
      <c r="S18" s="293">
        <f t="shared" ref="S18:S20" si="4">S17+0.2</f>
        <v>1.2</v>
      </c>
      <c r="T18" s="297">
        <f t="shared" si="0"/>
        <v>0.125</v>
      </c>
      <c r="U18" s="299">
        <f t="shared" si="2"/>
        <v>0.25</v>
      </c>
      <c r="V18" s="46"/>
      <c r="W18" s="46"/>
      <c r="X18" s="46"/>
      <c r="Y18" s="46"/>
    </row>
    <row r="19" spans="1:25" s="47" customFormat="1" ht="15.75" customHeight="1">
      <c r="A19" s="47" t="s">
        <v>46</v>
      </c>
      <c r="B19" s="47">
        <v>12</v>
      </c>
      <c r="C19" s="150"/>
      <c r="D19" s="49"/>
      <c r="E19" s="49"/>
      <c r="F19" s="49"/>
      <c r="G19" s="49"/>
      <c r="H19" s="149"/>
      <c r="I19" s="49" t="e">
        <f>H19/(((F19+G19)/2)^0.5)</f>
        <v>#DIV/0!</v>
      </c>
      <c r="J19" s="49" t="e">
        <f>100*(0.01475*I19-0.0126)/(1+(0.01475*I19-0.0126))</f>
        <v>#DIV/0!</v>
      </c>
      <c r="K19" s="49" t="e">
        <f>J19/E19</f>
        <v>#DIV/0!</v>
      </c>
      <c r="M19" s="51" t="e">
        <f>L19/E19</f>
        <v>#DIV/0!</v>
      </c>
      <c r="N19" s="52" t="e">
        <f t="shared" ref="N19:N20" si="5">IF(M19&lt;1,0.15/M19,0)</f>
        <v>#DIV/0!</v>
      </c>
      <c r="O19" s="52" t="e">
        <f>N19*B19</f>
        <v>#DIV/0!</v>
      </c>
      <c r="R19" s="46"/>
      <c r="S19" s="293">
        <f t="shared" si="4"/>
        <v>1.4</v>
      </c>
      <c r="T19" s="297">
        <f t="shared" si="0"/>
        <v>0.10714285714285715</v>
      </c>
      <c r="U19" s="299">
        <f t="shared" si="2"/>
        <v>0.2142857142857143</v>
      </c>
      <c r="V19" s="46"/>
      <c r="W19" s="46"/>
      <c r="Y19" s="46"/>
    </row>
    <row r="20" spans="1:25" s="47" customFormat="1" ht="15.75" customHeight="1" thickBot="1">
      <c r="A20" s="47" t="s">
        <v>47</v>
      </c>
      <c r="B20" s="47">
        <v>12</v>
      </c>
      <c r="C20" s="53"/>
      <c r="D20" s="54"/>
      <c r="E20" s="54"/>
      <c r="F20" s="55"/>
      <c r="G20" s="55"/>
      <c r="H20" s="56"/>
      <c r="I20" s="143" t="e">
        <f>H20/(((F20+G20)/2)^0.5)</f>
        <v>#DIV/0!</v>
      </c>
      <c r="J20" s="49" t="e">
        <f>100*(0.01475*I20-0.0126)/(1+(0.01475*I20-0.0126))</f>
        <v>#DIV/0!</v>
      </c>
      <c r="K20" s="49" t="e">
        <f>J20/E20</f>
        <v>#DIV/0!</v>
      </c>
      <c r="M20" s="51" t="e">
        <f>L20/E20</f>
        <v>#DIV/0!</v>
      </c>
      <c r="N20" s="52" t="e">
        <f t="shared" si="5"/>
        <v>#DIV/0!</v>
      </c>
      <c r="O20" s="52" t="e">
        <f>N20*B20</f>
        <v>#DIV/0!</v>
      </c>
      <c r="R20" s="46"/>
      <c r="S20" s="294">
        <f t="shared" si="4"/>
        <v>1.5999999999999999</v>
      </c>
      <c r="T20" s="300">
        <f t="shared" si="0"/>
        <v>9.375E-2</v>
      </c>
      <c r="U20" s="301">
        <f t="shared" si="2"/>
        <v>0.1875</v>
      </c>
      <c r="V20" s="46"/>
      <c r="W20" s="46"/>
      <c r="Y20" s="46"/>
    </row>
    <row r="21" spans="1:25" ht="15" customHeight="1" thickBot="1">
      <c r="E21" s="151"/>
      <c r="G21" s="57"/>
      <c r="H21" s="58"/>
      <c r="I21" s="58"/>
      <c r="J21" s="59"/>
      <c r="K21" s="60"/>
      <c r="L21" s="59"/>
      <c r="M21" s="59"/>
      <c r="N21" s="61" t="s">
        <v>116</v>
      </c>
      <c r="O21" s="62" t="e">
        <f>SUM(O18:O20)</f>
        <v>#DIV/0!</v>
      </c>
      <c r="Q21" s="47"/>
      <c r="R21" s="47"/>
      <c r="S21" s="46"/>
      <c r="T21" s="46"/>
      <c r="U21" s="46"/>
    </row>
    <row r="22" spans="1:25" ht="21.75" customHeight="1">
      <c r="A22" s="40" t="s">
        <v>207</v>
      </c>
      <c r="Q22" s="319"/>
      <c r="S22" s="46"/>
      <c r="T22" s="46"/>
      <c r="U22" s="46"/>
    </row>
    <row r="23" spans="1:25" ht="16.7" customHeight="1">
      <c r="A23" t="s">
        <v>48</v>
      </c>
      <c r="D23" t="s">
        <v>49</v>
      </c>
    </row>
    <row r="24" spans="1:25" ht="16.7" customHeight="1">
      <c r="A24" t="s">
        <v>50</v>
      </c>
    </row>
    <row r="25" spans="1:25" ht="16.7" customHeight="1"/>
    <row r="26" spans="1:25" ht="15.75" customHeight="1">
      <c r="L26" s="63"/>
      <c r="M26" s="65"/>
    </row>
    <row r="27" spans="1:25" ht="15.75" customHeight="1">
      <c r="L27" s="63"/>
      <c r="M27" s="65"/>
    </row>
    <row r="28" spans="1:25" ht="15.75" customHeight="1">
      <c r="L28" s="63"/>
      <c r="M28" s="65"/>
    </row>
    <row r="29" spans="1:25" ht="15.75" customHeight="1">
      <c r="L29" s="63"/>
      <c r="M29" s="65"/>
    </row>
    <row r="30" spans="1:25" ht="15.75" customHeight="1">
      <c r="L30" s="63"/>
      <c r="M30" s="65"/>
    </row>
    <row r="31" spans="1:25" ht="15.75" customHeight="1">
      <c r="L31" s="63"/>
      <c r="M31" s="65"/>
    </row>
    <row r="32" spans="1:25" ht="18.399999999999999" customHeight="1">
      <c r="A32" s="421" t="s">
        <v>133</v>
      </c>
      <c r="B32" s="422"/>
      <c r="C32" s="422"/>
      <c r="D32" s="422"/>
      <c r="E32" s="422"/>
      <c r="F32" s="422"/>
      <c r="G32" s="423"/>
      <c r="L32" s="63"/>
      <c r="M32" s="65"/>
    </row>
    <row r="33" spans="1:23" ht="22.35" customHeight="1">
      <c r="A33" s="424"/>
      <c r="B33" s="425"/>
      <c r="C33" s="425"/>
      <c r="D33" s="425"/>
      <c r="E33" s="425"/>
      <c r="F33" s="425"/>
      <c r="G33" s="426"/>
      <c r="L33" s="78"/>
      <c r="N33" s="78"/>
      <c r="O33" s="78"/>
      <c r="P33" s="78"/>
      <c r="Q33" s="78"/>
      <c r="V33" s="78"/>
      <c r="W33" s="79"/>
    </row>
    <row r="34" spans="1:23" ht="17.25" customHeight="1">
      <c r="A34" s="147" t="s">
        <v>51</v>
      </c>
      <c r="G34" s="127"/>
      <c r="W34" s="127"/>
    </row>
    <row r="35" spans="1:23" ht="17.25" customHeight="1">
      <c r="A35" s="147" t="s">
        <v>54</v>
      </c>
      <c r="G35" s="127"/>
      <c r="L35" s="129"/>
      <c r="N35" s="129"/>
      <c r="O35" s="129"/>
      <c r="P35" s="129"/>
      <c r="Q35" s="129"/>
      <c r="R35" s="129"/>
      <c r="S35" s="125"/>
      <c r="T35" s="78"/>
      <c r="U35" s="78"/>
      <c r="V35" s="129"/>
      <c r="W35" s="130"/>
    </row>
    <row r="36" spans="1:23" ht="15.75">
      <c r="A36" s="147" t="s">
        <v>132</v>
      </c>
      <c r="G36" s="127"/>
    </row>
    <row r="37" spans="1:23">
      <c r="G37" s="127"/>
      <c r="S37" s="129"/>
      <c r="T37" s="129"/>
      <c r="U37" s="129"/>
    </row>
    <row r="38" spans="1:23">
      <c r="A38" s="126"/>
      <c r="G38" s="127"/>
    </row>
    <row r="39" spans="1:23">
      <c r="A39" s="128"/>
      <c r="B39" s="129"/>
      <c r="C39" s="129"/>
      <c r="D39" s="129"/>
      <c r="E39" s="129"/>
      <c r="F39" s="129"/>
      <c r="G39" s="130"/>
    </row>
    <row r="41" spans="1:23">
      <c r="B41" s="41" t="s">
        <v>109</v>
      </c>
    </row>
    <row r="42" spans="1:23" ht="38.25" customHeight="1">
      <c r="B42" s="136" t="s">
        <v>107</v>
      </c>
      <c r="C42" s="420" t="s">
        <v>108</v>
      </c>
      <c r="D42" s="420"/>
      <c r="E42" s="420"/>
      <c r="F42" s="420"/>
    </row>
    <row r="43" spans="1:23" ht="16.7" customHeight="1" thickBot="1">
      <c r="B43" s="139" t="s">
        <v>12</v>
      </c>
      <c r="C43" s="146">
        <v>4</v>
      </c>
      <c r="D43" s="146">
        <v>8</v>
      </c>
      <c r="E43" s="146">
        <v>12</v>
      </c>
      <c r="F43" s="146">
        <v>16</v>
      </c>
    </row>
    <row r="44" spans="1:23" ht="15.75">
      <c r="B44" s="137">
        <v>2</v>
      </c>
      <c r="C44" s="138">
        <f>(0.15/($B44/C$43))*12</f>
        <v>3.5999999999999996</v>
      </c>
      <c r="D44" s="141">
        <f t="shared" ref="D44:F46" si="6">(0.15/($B44/D$43))*12</f>
        <v>7.1999999999999993</v>
      </c>
      <c r="E44" s="141">
        <f t="shared" si="6"/>
        <v>10.8</v>
      </c>
      <c r="F44" s="141">
        <f t="shared" si="6"/>
        <v>14.399999999999999</v>
      </c>
    </row>
    <row r="45" spans="1:23" ht="15.75">
      <c r="B45" s="137">
        <v>4</v>
      </c>
      <c r="C45" s="288" t="s">
        <v>209</v>
      </c>
      <c r="D45" s="141">
        <f t="shared" si="6"/>
        <v>3.5999999999999996</v>
      </c>
      <c r="E45" s="141">
        <f t="shared" si="6"/>
        <v>5.4</v>
      </c>
      <c r="F45" s="141">
        <f t="shared" si="6"/>
        <v>7.1999999999999993</v>
      </c>
    </row>
    <row r="46" spans="1:23" ht="16.5" thickBot="1">
      <c r="B46" s="140">
        <v>6</v>
      </c>
      <c r="C46" s="289" t="s">
        <v>209</v>
      </c>
      <c r="D46" s="142">
        <f t="shared" si="6"/>
        <v>2.4</v>
      </c>
      <c r="E46" s="142">
        <f t="shared" si="6"/>
        <v>3.5999999999999996</v>
      </c>
      <c r="F46" s="142">
        <f t="shared" si="6"/>
        <v>4.8</v>
      </c>
    </row>
  </sheetData>
  <mergeCells count="12">
    <mergeCell ref="N5:O6"/>
    <mergeCell ref="C6:H6"/>
    <mergeCell ref="F7:H7"/>
    <mergeCell ref="N7:N8"/>
    <mergeCell ref="O7:O8"/>
    <mergeCell ref="C42:F42"/>
    <mergeCell ref="A32:G33"/>
    <mergeCell ref="N14:O15"/>
    <mergeCell ref="C15:H15"/>
    <mergeCell ref="F16:H16"/>
    <mergeCell ref="N16:N17"/>
    <mergeCell ref="O16:O17"/>
  </mergeCells>
  <phoneticPr fontId="0" type="noConversion"/>
  <pageMargins left="0.26" right="0.28000000000000003" top="0.82" bottom="0.73" header="0.66" footer="0.5"/>
  <pageSetup scale="8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2DE9-AF5E-4C5E-9EE3-3223F2CE522A}">
  <sheetPr>
    <pageSetUpPr fitToPage="1"/>
  </sheetPr>
  <dimension ref="A1:Y46"/>
  <sheetViews>
    <sheetView tabSelected="1" zoomScaleNormal="100" zoomScaleSheetLayoutView="90" workbookViewId="0">
      <selection activeCell="J30" sqref="J30"/>
    </sheetView>
  </sheetViews>
  <sheetFormatPr defaultRowHeight="12.75"/>
  <cols>
    <col min="2" max="2" width="9" customWidth="1"/>
    <col min="3" max="4" width="7.140625" customWidth="1"/>
    <col min="5" max="5" width="9.140625" customWidth="1"/>
    <col min="6" max="6" width="7.140625" customWidth="1"/>
    <col min="7" max="7" width="7.5703125" customWidth="1"/>
    <col min="8" max="8" width="5.85546875" customWidth="1"/>
    <col min="9" max="9" width="6.5703125" customWidth="1"/>
    <col min="10" max="10" width="7" customWidth="1"/>
    <col min="11" max="11" width="8" customWidth="1"/>
    <col min="12" max="12" width="8.42578125" customWidth="1"/>
    <col min="13" max="13" width="9.28515625" customWidth="1"/>
    <col min="15" max="15" width="10.5703125" customWidth="1"/>
  </cols>
  <sheetData>
    <row r="1" spans="1:21" ht="15.75">
      <c r="A1" s="40" t="s">
        <v>53</v>
      </c>
    </row>
    <row r="2" spans="1:21" ht="15.75">
      <c r="A2" s="40"/>
      <c r="B2" s="40" t="s">
        <v>52</v>
      </c>
      <c r="Q2" s="147" t="s">
        <v>51</v>
      </c>
    </row>
    <row r="3" spans="1:21" ht="15.75">
      <c r="B3" t="s">
        <v>32</v>
      </c>
      <c r="Q3" s="147" t="s">
        <v>54</v>
      </c>
    </row>
    <row r="4" spans="1:21" ht="15.75">
      <c r="Q4" s="147" t="s">
        <v>132</v>
      </c>
    </row>
    <row r="5" spans="1:21" ht="13.5" thickBot="1">
      <c r="C5" s="41" t="s">
        <v>33</v>
      </c>
      <c r="N5" s="427" t="s">
        <v>110</v>
      </c>
      <c r="O5" s="433"/>
    </row>
    <row r="6" spans="1:21" s="42" customFormat="1" ht="13.5" thickBot="1">
      <c r="B6" s="3" t="s">
        <v>111</v>
      </c>
      <c r="C6" s="428" t="s">
        <v>34</v>
      </c>
      <c r="D6" s="434"/>
      <c r="E6" s="434"/>
      <c r="F6" s="434"/>
      <c r="G6" s="434"/>
      <c r="H6" s="435"/>
      <c r="N6" s="433"/>
      <c r="O6" s="433"/>
      <c r="S6" s="290" t="s">
        <v>164</v>
      </c>
      <c r="T6" s="295" t="s">
        <v>210</v>
      </c>
      <c r="U6" s="296"/>
    </row>
    <row r="7" spans="1:21" s="42" customFormat="1" ht="12">
      <c r="A7" s="43" t="s">
        <v>35</v>
      </c>
      <c r="B7" s="2" t="s">
        <v>112</v>
      </c>
      <c r="C7" s="44" t="s">
        <v>36</v>
      </c>
      <c r="D7" s="3"/>
      <c r="E7" s="3" t="s">
        <v>37</v>
      </c>
      <c r="F7" s="428" t="s">
        <v>38</v>
      </c>
      <c r="G7" s="429"/>
      <c r="H7" s="430"/>
      <c r="I7" s="2"/>
      <c r="J7" s="2"/>
      <c r="K7" s="2"/>
      <c r="L7" s="3" t="s">
        <v>39</v>
      </c>
      <c r="M7" s="2" t="s">
        <v>40</v>
      </c>
      <c r="N7" s="431" t="s">
        <v>113</v>
      </c>
      <c r="O7" s="431" t="s">
        <v>114</v>
      </c>
      <c r="S7" s="291" t="s">
        <v>165</v>
      </c>
      <c r="T7" s="330" t="s">
        <v>227</v>
      </c>
      <c r="U7" s="331" t="s">
        <v>228</v>
      </c>
    </row>
    <row r="8" spans="1:21" s="46" customFormat="1" ht="15.75" customHeight="1" thickBot="1">
      <c r="A8" s="43" t="s">
        <v>41</v>
      </c>
      <c r="B8" s="43" t="s">
        <v>115</v>
      </c>
      <c r="C8" s="45" t="s">
        <v>42</v>
      </c>
      <c r="D8" s="43" t="s">
        <v>0</v>
      </c>
      <c r="E8" s="43" t="s">
        <v>10</v>
      </c>
      <c r="F8" s="28" t="s">
        <v>1</v>
      </c>
      <c r="G8" s="144" t="s">
        <v>2</v>
      </c>
      <c r="H8" s="145" t="s">
        <v>3</v>
      </c>
      <c r="I8" s="43" t="s">
        <v>14</v>
      </c>
      <c r="J8" s="43" t="s">
        <v>43</v>
      </c>
      <c r="K8" s="43" t="s">
        <v>208</v>
      </c>
      <c r="L8" s="43" t="s">
        <v>44</v>
      </c>
      <c r="M8" s="43" t="s">
        <v>10</v>
      </c>
      <c r="N8" s="436"/>
      <c r="O8" s="436"/>
      <c r="Q8" s="42"/>
      <c r="S8" s="292">
        <v>0.1</v>
      </c>
      <c r="T8" s="297"/>
      <c r="U8" s="298"/>
    </row>
    <row r="9" spans="1:21" s="47" customFormat="1" ht="15.75" customHeight="1">
      <c r="A9" s="47" t="s">
        <v>45</v>
      </c>
      <c r="B9" s="47">
        <v>12</v>
      </c>
      <c r="C9" s="48">
        <v>40</v>
      </c>
      <c r="D9" s="49">
        <v>7.9</v>
      </c>
      <c r="E9" s="47">
        <v>5.5</v>
      </c>
      <c r="F9" s="47">
        <v>34.200000000000003</v>
      </c>
      <c r="G9" s="47">
        <v>4.5999999999999996</v>
      </c>
      <c r="H9" s="50">
        <v>21.7</v>
      </c>
      <c r="I9" s="49">
        <f>H9/(((F9+G9)/2)^0.5)</f>
        <v>4.9267312096735223</v>
      </c>
      <c r="J9" s="49">
        <f>100*(0.01475*I9-0.0126)/(1+(0.01475*I9-0.0126))</f>
        <v>5.6665433262945717</v>
      </c>
      <c r="K9" s="51">
        <f>J9/E9</f>
        <v>1.0302806047808313</v>
      </c>
      <c r="L9" s="47">
        <v>3</v>
      </c>
      <c r="M9" s="51">
        <f>L9/E9</f>
        <v>0.54545454545454541</v>
      </c>
      <c r="N9" s="52">
        <f>IF(M9&lt;1,0.15/M9,0)</f>
        <v>0.27500000000000002</v>
      </c>
      <c r="O9" s="52">
        <f>N9*B9</f>
        <v>3.3000000000000003</v>
      </c>
      <c r="Q9" s="42"/>
      <c r="S9" s="292">
        <v>0.2</v>
      </c>
      <c r="T9" s="297">
        <f t="shared" ref="T9:T20" si="0">0.15/S9</f>
        <v>0.74999999999999989</v>
      </c>
      <c r="U9" s="299"/>
    </row>
    <row r="10" spans="1:21" s="47" customFormat="1" ht="15.75" customHeight="1">
      <c r="A10" s="47" t="s">
        <v>46</v>
      </c>
      <c r="B10" s="47">
        <v>12</v>
      </c>
      <c r="C10" s="48">
        <v>45</v>
      </c>
      <c r="D10" s="49">
        <v>8</v>
      </c>
      <c r="E10" s="47">
        <v>6.7</v>
      </c>
      <c r="F10" s="47">
        <v>29.9</v>
      </c>
      <c r="G10" s="47">
        <v>4.3</v>
      </c>
      <c r="H10" s="50">
        <v>39.6</v>
      </c>
      <c r="I10" s="49">
        <f>H10/(((F10+G10)/2)^0.5)</f>
        <v>9.5762865014521559</v>
      </c>
      <c r="J10" s="49">
        <f>100*(0.01475*I10-0.0126)/(1+(0.01475*I10-0.0126))</f>
        <v>11.398591250379638</v>
      </c>
      <c r="K10" s="49">
        <f>J10/E10</f>
        <v>1.7012822761760653</v>
      </c>
      <c r="L10" s="47">
        <v>3</v>
      </c>
      <c r="M10" s="51">
        <f>L10/E10</f>
        <v>0.44776119402985076</v>
      </c>
      <c r="N10" s="52">
        <f t="shared" ref="N10:N11" si="1">IF(M10&lt;1,0.15/M10,0)</f>
        <v>0.33499999999999996</v>
      </c>
      <c r="O10" s="52">
        <f>N10*B10</f>
        <v>4.0199999999999996</v>
      </c>
      <c r="Q10" s="42"/>
      <c r="S10" s="292">
        <v>0.3</v>
      </c>
      <c r="T10" s="297">
        <f t="shared" si="0"/>
        <v>0.5</v>
      </c>
      <c r="U10" s="299">
        <f>0.3/S10</f>
        <v>1</v>
      </c>
    </row>
    <row r="11" spans="1:21" s="47" customFormat="1" ht="15.75" customHeight="1" thickBot="1">
      <c r="A11" s="47" t="s">
        <v>47</v>
      </c>
      <c r="B11" s="47">
        <v>12</v>
      </c>
      <c r="C11" s="53">
        <v>45</v>
      </c>
      <c r="D11" s="54">
        <v>8</v>
      </c>
      <c r="E11" s="55">
        <v>7.3</v>
      </c>
      <c r="F11" s="55">
        <v>25.1</v>
      </c>
      <c r="G11" s="55">
        <v>4</v>
      </c>
      <c r="H11" s="56">
        <v>51.8</v>
      </c>
      <c r="I11" s="143">
        <f>H11/(((F11+G11)/2)^0.5)</f>
        <v>13.579952881910675</v>
      </c>
      <c r="J11" s="49">
        <f>100*(0.01475*I11-0.0126)/(1+(0.01475*I11-0.0126))</f>
        <v>15.803959303396589</v>
      </c>
      <c r="K11" s="49">
        <f>J11/E11</f>
        <v>2.1649259319721357</v>
      </c>
      <c r="L11" s="47">
        <v>3</v>
      </c>
      <c r="M11" s="51">
        <f>L11/E11</f>
        <v>0.41095890410958907</v>
      </c>
      <c r="N11" s="52">
        <f t="shared" si="1"/>
        <v>0.36499999999999994</v>
      </c>
      <c r="O11" s="52">
        <f>N11*B11</f>
        <v>4.379999999999999</v>
      </c>
      <c r="Q11" s="42"/>
      <c r="S11" s="293">
        <f>S10+0.1</f>
        <v>0.4</v>
      </c>
      <c r="T11" s="297">
        <f t="shared" si="0"/>
        <v>0.37499999999999994</v>
      </c>
      <c r="U11" s="299">
        <f t="shared" ref="U11:U20" si="2">0.3/S11</f>
        <v>0.74999999999999989</v>
      </c>
    </row>
    <row r="12" spans="1:21" ht="15" customHeight="1" thickBot="1">
      <c r="G12" s="57"/>
      <c r="H12" s="58"/>
      <c r="I12" s="58"/>
      <c r="J12" s="59"/>
      <c r="K12" s="60"/>
      <c r="L12" s="59"/>
      <c r="M12" s="59"/>
      <c r="N12" s="61" t="s">
        <v>116</v>
      </c>
      <c r="O12" s="62">
        <f>SUM(O9:O11)</f>
        <v>11.7</v>
      </c>
      <c r="Q12" s="47"/>
      <c r="R12" s="47"/>
      <c r="S12" s="293">
        <f t="shared" ref="S12:S17" si="3">S11+0.1</f>
        <v>0.5</v>
      </c>
      <c r="T12" s="297">
        <f t="shared" si="0"/>
        <v>0.3</v>
      </c>
      <c r="U12" s="299">
        <f t="shared" si="2"/>
        <v>0.6</v>
      </c>
    </row>
    <row r="13" spans="1:21" ht="15.75" customHeight="1">
      <c r="L13" s="63"/>
      <c r="M13" s="65"/>
      <c r="S13" s="293">
        <f t="shared" si="3"/>
        <v>0.6</v>
      </c>
      <c r="T13" s="297">
        <f t="shared" si="0"/>
        <v>0.25</v>
      </c>
      <c r="U13" s="299">
        <f t="shared" si="2"/>
        <v>0.5</v>
      </c>
    </row>
    <row r="14" spans="1:21" ht="19.5" customHeight="1" thickBot="1">
      <c r="C14" s="276" t="s">
        <v>206</v>
      </c>
      <c r="N14" s="427" t="s">
        <v>110</v>
      </c>
      <c r="O14" s="427"/>
      <c r="S14" s="293">
        <f t="shared" si="3"/>
        <v>0.7</v>
      </c>
      <c r="T14" s="297">
        <f t="shared" si="0"/>
        <v>0.2142857142857143</v>
      </c>
      <c r="U14" s="299">
        <f t="shared" si="2"/>
        <v>0.4285714285714286</v>
      </c>
    </row>
    <row r="15" spans="1:21" s="42" customFormat="1" ht="13.5" thickBot="1">
      <c r="A15" s="3" t="s">
        <v>117</v>
      </c>
      <c r="B15" s="3" t="s">
        <v>111</v>
      </c>
      <c r="C15" s="428" t="s">
        <v>34</v>
      </c>
      <c r="D15" s="429"/>
      <c r="E15" s="429"/>
      <c r="F15" s="429"/>
      <c r="G15" s="429"/>
      <c r="H15" s="430"/>
      <c r="N15" s="427"/>
      <c r="O15" s="427"/>
      <c r="S15" s="293">
        <f t="shared" si="3"/>
        <v>0.79999999999999993</v>
      </c>
      <c r="T15" s="297">
        <f t="shared" si="0"/>
        <v>0.1875</v>
      </c>
      <c r="U15" s="299">
        <f t="shared" si="2"/>
        <v>0.375</v>
      </c>
    </row>
    <row r="16" spans="1:21" s="42" customFormat="1" ht="12" customHeight="1">
      <c r="A16" s="43" t="s">
        <v>118</v>
      </c>
      <c r="B16" s="2" t="s">
        <v>112</v>
      </c>
      <c r="C16" s="44" t="s">
        <v>36</v>
      </c>
      <c r="D16" s="3"/>
      <c r="E16" s="3" t="s">
        <v>37</v>
      </c>
      <c r="F16" s="428" t="s">
        <v>38</v>
      </c>
      <c r="G16" s="429"/>
      <c r="H16" s="430"/>
      <c r="I16" s="2"/>
      <c r="J16" s="2"/>
      <c r="K16" s="2"/>
      <c r="L16" s="314" t="s">
        <v>39</v>
      </c>
      <c r="M16" s="2" t="s">
        <v>40</v>
      </c>
      <c r="N16" s="431" t="s">
        <v>113</v>
      </c>
      <c r="O16" s="437" t="s">
        <v>114</v>
      </c>
      <c r="S16" s="293">
        <f t="shared" si="3"/>
        <v>0.89999999999999991</v>
      </c>
      <c r="T16" s="297">
        <f t="shared" si="0"/>
        <v>0.16666666666666669</v>
      </c>
      <c r="U16" s="299">
        <f t="shared" si="2"/>
        <v>0.33333333333333337</v>
      </c>
    </row>
    <row r="17" spans="1:25" s="46" customFormat="1" ht="15.75" customHeight="1" thickBot="1">
      <c r="A17" s="43" t="s">
        <v>41</v>
      </c>
      <c r="B17" s="43" t="s">
        <v>115</v>
      </c>
      <c r="C17" s="45" t="s">
        <v>42</v>
      </c>
      <c r="D17" s="43" t="s">
        <v>0</v>
      </c>
      <c r="E17" s="43" t="s">
        <v>10</v>
      </c>
      <c r="F17" s="28" t="s">
        <v>1</v>
      </c>
      <c r="G17" s="144" t="s">
        <v>2</v>
      </c>
      <c r="H17" s="145" t="s">
        <v>3</v>
      </c>
      <c r="I17" s="43" t="s">
        <v>14</v>
      </c>
      <c r="J17" s="43" t="s">
        <v>43</v>
      </c>
      <c r="K17" s="43" t="s">
        <v>208</v>
      </c>
      <c r="L17" s="348" t="s">
        <v>44</v>
      </c>
      <c r="M17" s="43" t="s">
        <v>10</v>
      </c>
      <c r="N17" s="432"/>
      <c r="O17" s="438"/>
      <c r="S17" s="293">
        <f t="shared" si="3"/>
        <v>0.99999999999999989</v>
      </c>
      <c r="T17" s="297">
        <f t="shared" si="0"/>
        <v>0.15000000000000002</v>
      </c>
      <c r="U17" s="299">
        <f t="shared" si="2"/>
        <v>0.30000000000000004</v>
      </c>
    </row>
    <row r="18" spans="1:25" s="47" customFormat="1" ht="15.75" customHeight="1">
      <c r="A18" s="345" t="s">
        <v>235</v>
      </c>
      <c r="B18" s="47">
        <v>20</v>
      </c>
      <c r="C18" s="305">
        <v>49.523809523809526</v>
      </c>
      <c r="D18" s="49">
        <v>7.5095238095238086</v>
      </c>
      <c r="E18" s="49">
        <v>4.6771428571428562</v>
      </c>
      <c r="F18" s="49">
        <v>25.823809523809526</v>
      </c>
      <c r="G18" s="49">
        <v>5.6523809523809536</v>
      </c>
      <c r="H18" s="149">
        <v>34.790476190476184</v>
      </c>
      <c r="I18" s="49">
        <f>H18/(((F18+G18)/2)^0.5)</f>
        <v>8.7696909459932328</v>
      </c>
      <c r="J18" s="49">
        <f>100*(0.01475*I18-0.0126)/(1+(0.01475*I18-0.0126))</f>
        <v>10.45467955530539</v>
      </c>
      <c r="K18" s="49">
        <f>J18/E18</f>
        <v>2.2352705219040239</v>
      </c>
      <c r="L18" s="349">
        <v>4.5</v>
      </c>
      <c r="M18" s="51">
        <f>L18/E18</f>
        <v>0.96212583995113032</v>
      </c>
      <c r="N18" s="52">
        <f>IF(M18&lt;1,0.15/M18,0)</f>
        <v>0.15590476190476185</v>
      </c>
      <c r="O18" s="350">
        <f>N18*B18</f>
        <v>3.1180952380952371</v>
      </c>
      <c r="R18" s="46"/>
      <c r="S18" s="293">
        <f t="shared" ref="S18:S20" si="4">S17+0.2</f>
        <v>1.2</v>
      </c>
      <c r="T18" s="297">
        <f t="shared" si="0"/>
        <v>0.125</v>
      </c>
      <c r="U18" s="299">
        <f t="shared" si="2"/>
        <v>0.25</v>
      </c>
      <c r="V18" s="46"/>
      <c r="W18" s="46"/>
      <c r="X18" s="46"/>
      <c r="Y18" s="46"/>
    </row>
    <row r="19" spans="1:25" s="47" customFormat="1" ht="15.75" customHeight="1">
      <c r="A19" s="346" t="s">
        <v>236</v>
      </c>
      <c r="B19" s="47">
        <v>20</v>
      </c>
      <c r="C19" s="305">
        <v>51.19047619047619</v>
      </c>
      <c r="D19" s="49">
        <v>7.7333333333333325</v>
      </c>
      <c r="E19" s="49">
        <v>5.3100000000000005</v>
      </c>
      <c r="F19" s="49">
        <v>23.128571428571426</v>
      </c>
      <c r="G19" s="49">
        <v>5.3761904761904766</v>
      </c>
      <c r="H19" s="149">
        <v>44.371428571428567</v>
      </c>
      <c r="I19" s="49">
        <f>H19/(((F19+G19)/2)^0.5)</f>
        <v>11.753296719289343</v>
      </c>
      <c r="J19" s="49">
        <f>100*(0.01475*I19-0.0126)/(1+(0.01475*I19-0.0126))</f>
        <v>13.849630464373581</v>
      </c>
      <c r="K19" s="49">
        <f>J19/E19</f>
        <v>2.6082166599573595</v>
      </c>
      <c r="L19" s="349">
        <v>4.5</v>
      </c>
      <c r="M19" s="51">
        <f>L19/E19</f>
        <v>0.84745762711864403</v>
      </c>
      <c r="N19" s="52">
        <f t="shared" ref="N19:N20" si="5">IF(M19&lt;1,0.15/M19,0)</f>
        <v>0.17699999999999999</v>
      </c>
      <c r="O19" s="350">
        <f>N19*B19</f>
        <v>3.54</v>
      </c>
      <c r="R19" s="46"/>
      <c r="S19" s="293">
        <f t="shared" si="4"/>
        <v>1.4</v>
      </c>
      <c r="T19" s="297">
        <f t="shared" si="0"/>
        <v>0.10714285714285715</v>
      </c>
      <c r="U19" s="299">
        <f t="shared" si="2"/>
        <v>0.2142857142857143</v>
      </c>
      <c r="V19" s="46"/>
      <c r="W19" s="46"/>
      <c r="Y19" s="46"/>
    </row>
    <row r="20" spans="1:25" s="47" customFormat="1" ht="15.75" customHeight="1" thickBot="1">
      <c r="A20" s="347" t="s">
        <v>237</v>
      </c>
      <c r="B20" s="47">
        <v>20</v>
      </c>
      <c r="C20" s="143">
        <v>55.952380952380949</v>
      </c>
      <c r="D20" s="54">
        <v>7.8238095238095227</v>
      </c>
      <c r="E20" s="54">
        <v>7.091904761904761</v>
      </c>
      <c r="F20" s="54">
        <v>23.157142857142851</v>
      </c>
      <c r="G20" s="54">
        <v>5.833333333333333</v>
      </c>
      <c r="H20" s="56">
        <v>56.604761904761894</v>
      </c>
      <c r="I20" s="143">
        <f>H20/(((F20+G20)/2)^0.5)</f>
        <v>14.867580248030865</v>
      </c>
      <c r="J20" s="54">
        <f>100*(0.01475*I20-0.0126)/(1+(0.01475*I20-0.0126))</f>
        <v>17.129141900047813</v>
      </c>
      <c r="K20" s="54">
        <f>J20/E20</f>
        <v>2.4153090707110998</v>
      </c>
      <c r="L20" s="352">
        <v>4.5</v>
      </c>
      <c r="M20" s="353">
        <f>L20/E20</f>
        <v>0.63452628751762585</v>
      </c>
      <c r="N20" s="354">
        <f t="shared" si="5"/>
        <v>0.23639682539682536</v>
      </c>
      <c r="O20" s="355">
        <f>N20*B20</f>
        <v>4.7279365079365068</v>
      </c>
      <c r="R20" s="46"/>
      <c r="S20" s="294">
        <f t="shared" si="4"/>
        <v>1.5999999999999999</v>
      </c>
      <c r="T20" s="300">
        <f t="shared" si="0"/>
        <v>9.375E-2</v>
      </c>
      <c r="U20" s="301">
        <f t="shared" si="2"/>
        <v>0.1875</v>
      </c>
      <c r="V20" s="46"/>
      <c r="W20" s="46"/>
      <c r="Y20" s="46"/>
    </row>
    <row r="21" spans="1:25" ht="15" customHeight="1" thickBot="1">
      <c r="E21" s="151"/>
      <c r="I21" s="356"/>
      <c r="J21" s="357"/>
      <c r="K21" s="357"/>
      <c r="L21" s="357"/>
      <c r="M21" s="357"/>
      <c r="N21" s="358" t="s">
        <v>116</v>
      </c>
      <c r="O21" s="351">
        <f>SUM(O18:O20)</f>
        <v>11.386031746031744</v>
      </c>
      <c r="Q21" s="47"/>
      <c r="R21" s="47"/>
      <c r="S21" s="46"/>
      <c r="T21" s="46"/>
      <c r="U21" s="46"/>
    </row>
    <row r="22" spans="1:25" ht="21.75" customHeight="1">
      <c r="A22" s="40" t="s">
        <v>207</v>
      </c>
      <c r="Q22" s="319"/>
      <c r="S22" s="46"/>
      <c r="T22" s="46"/>
      <c r="U22" s="46"/>
    </row>
    <row r="23" spans="1:25" ht="16.7" customHeight="1">
      <c r="A23" t="s">
        <v>48</v>
      </c>
      <c r="D23" t="s">
        <v>49</v>
      </c>
    </row>
    <row r="24" spans="1:25" ht="16.7" customHeight="1">
      <c r="A24" t="s">
        <v>50</v>
      </c>
    </row>
    <row r="25" spans="1:25" ht="16.7" customHeight="1"/>
    <row r="26" spans="1:25" ht="15.75" customHeight="1">
      <c r="L26" s="63"/>
      <c r="M26" s="65"/>
    </row>
    <row r="27" spans="1:25" ht="15.75" customHeight="1">
      <c r="L27" s="63"/>
      <c r="M27" s="65"/>
    </row>
    <row r="28" spans="1:25" ht="15.75" customHeight="1">
      <c r="L28" s="63"/>
      <c r="M28" s="65"/>
    </row>
    <row r="29" spans="1:25" ht="15.75" customHeight="1">
      <c r="L29" s="63"/>
      <c r="M29" s="65"/>
    </row>
    <row r="30" spans="1:25" ht="15.75" customHeight="1">
      <c r="L30" s="63"/>
      <c r="M30" s="65"/>
    </row>
    <row r="31" spans="1:25" ht="15.75" customHeight="1">
      <c r="L31" s="63"/>
      <c r="M31" s="65"/>
    </row>
    <row r="32" spans="1:25" ht="18.399999999999999" customHeight="1">
      <c r="A32" s="421" t="s">
        <v>133</v>
      </c>
      <c r="B32" s="422"/>
      <c r="C32" s="422"/>
      <c r="D32" s="422"/>
      <c r="E32" s="422"/>
      <c r="F32" s="422"/>
      <c r="G32" s="423"/>
      <c r="L32" s="63"/>
      <c r="M32" s="65"/>
    </row>
    <row r="33" spans="1:23" ht="22.35" customHeight="1">
      <c r="A33" s="424"/>
      <c r="B33" s="425"/>
      <c r="C33" s="425"/>
      <c r="D33" s="425"/>
      <c r="E33" s="425"/>
      <c r="F33" s="425"/>
      <c r="G33" s="426"/>
      <c r="L33" s="78"/>
      <c r="N33" s="78"/>
      <c r="O33" s="78"/>
      <c r="P33" s="78"/>
      <c r="Q33" s="78"/>
      <c r="V33" s="78"/>
      <c r="W33" s="79"/>
    </row>
    <row r="34" spans="1:23" ht="17.25" customHeight="1">
      <c r="A34" s="147" t="s">
        <v>51</v>
      </c>
      <c r="G34" s="127"/>
      <c r="W34" s="127"/>
    </row>
    <row r="35" spans="1:23" ht="17.25" customHeight="1">
      <c r="A35" s="147" t="s">
        <v>54</v>
      </c>
      <c r="G35" s="127"/>
      <c r="L35" s="129"/>
      <c r="N35" s="129"/>
      <c r="O35" s="129"/>
      <c r="P35" s="129"/>
      <c r="Q35" s="129"/>
      <c r="R35" s="129"/>
      <c r="S35" s="125"/>
      <c r="T35" s="78"/>
      <c r="U35" s="78"/>
      <c r="V35" s="129"/>
      <c r="W35" s="130"/>
    </row>
    <row r="36" spans="1:23" ht="15.75">
      <c r="A36" s="147" t="s">
        <v>132</v>
      </c>
      <c r="G36" s="127"/>
    </row>
    <row r="37" spans="1:23">
      <c r="G37" s="127"/>
      <c r="S37" s="129"/>
      <c r="T37" s="129"/>
      <c r="U37" s="129"/>
    </row>
    <row r="38" spans="1:23">
      <c r="A38" s="126"/>
      <c r="G38" s="127"/>
    </row>
    <row r="39" spans="1:23">
      <c r="A39" s="128"/>
      <c r="B39" s="129"/>
      <c r="C39" s="129"/>
      <c r="D39" s="129"/>
      <c r="E39" s="129"/>
      <c r="F39" s="129"/>
      <c r="G39" s="130"/>
    </row>
    <row r="41" spans="1:23">
      <c r="B41" s="41" t="s">
        <v>109</v>
      </c>
    </row>
    <row r="42" spans="1:23" ht="38.25" customHeight="1">
      <c r="B42" s="136" t="s">
        <v>107</v>
      </c>
      <c r="C42" s="420" t="s">
        <v>108</v>
      </c>
      <c r="D42" s="420"/>
      <c r="E42" s="420"/>
      <c r="F42" s="420"/>
    </row>
    <row r="43" spans="1:23" ht="16.7" customHeight="1" thickBot="1">
      <c r="B43" s="139" t="s">
        <v>12</v>
      </c>
      <c r="C43" s="146">
        <v>4</v>
      </c>
      <c r="D43" s="146">
        <v>8</v>
      </c>
      <c r="E43" s="146">
        <v>12</v>
      </c>
      <c r="F43" s="146">
        <v>16</v>
      </c>
    </row>
    <row r="44" spans="1:23" ht="15.75">
      <c r="B44" s="137">
        <v>2</v>
      </c>
      <c r="C44" s="138">
        <f>(0.15/($B44/C$43))*12</f>
        <v>3.5999999999999996</v>
      </c>
      <c r="D44" s="141">
        <f t="shared" ref="D44:F46" si="6">(0.15/($B44/D$43))*12</f>
        <v>7.1999999999999993</v>
      </c>
      <c r="E44" s="141">
        <f t="shared" si="6"/>
        <v>10.8</v>
      </c>
      <c r="F44" s="141">
        <f t="shared" si="6"/>
        <v>14.399999999999999</v>
      </c>
    </row>
    <row r="45" spans="1:23" ht="15.75">
      <c r="B45" s="137">
        <v>4</v>
      </c>
      <c r="C45" s="288" t="s">
        <v>209</v>
      </c>
      <c r="D45" s="141">
        <f t="shared" si="6"/>
        <v>3.5999999999999996</v>
      </c>
      <c r="E45" s="141">
        <f t="shared" si="6"/>
        <v>5.4</v>
      </c>
      <c r="F45" s="141">
        <f t="shared" si="6"/>
        <v>7.1999999999999993</v>
      </c>
    </row>
    <row r="46" spans="1:23" ht="16.5" thickBot="1">
      <c r="B46" s="140">
        <v>6</v>
      </c>
      <c r="C46" s="289" t="s">
        <v>209</v>
      </c>
      <c r="D46" s="142">
        <f t="shared" si="6"/>
        <v>2.4</v>
      </c>
      <c r="E46" s="142">
        <f t="shared" si="6"/>
        <v>3.5999999999999996</v>
      </c>
      <c r="F46" s="142">
        <f t="shared" si="6"/>
        <v>4.8</v>
      </c>
    </row>
  </sheetData>
  <mergeCells count="12">
    <mergeCell ref="F16:H16"/>
    <mergeCell ref="N16:N17"/>
    <mergeCell ref="O16:O17"/>
    <mergeCell ref="A32:G33"/>
    <mergeCell ref="C42:F42"/>
    <mergeCell ref="N14:O15"/>
    <mergeCell ref="C15:H15"/>
    <mergeCell ref="N5:O6"/>
    <mergeCell ref="C6:H6"/>
    <mergeCell ref="F7:H7"/>
    <mergeCell ref="N7:N8"/>
    <mergeCell ref="O7:O8"/>
  </mergeCells>
  <pageMargins left="0.26" right="0.28000000000000003" top="0.82" bottom="0.73" header="0.66" footer="0.5"/>
  <pageSetup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7FF5B-9C96-491E-9C14-1E6199D17439}">
  <dimension ref="A1:X41"/>
  <sheetViews>
    <sheetView topLeftCell="A6" workbookViewId="0">
      <selection activeCell="U14" sqref="U14"/>
    </sheetView>
  </sheetViews>
  <sheetFormatPr defaultRowHeight="15"/>
  <cols>
    <col min="1" max="6" width="9.140625" style="359"/>
    <col min="7" max="7" width="11.85546875" style="359" customWidth="1"/>
    <col min="8" max="9" width="9.140625" style="359"/>
    <col min="10" max="10" width="5.42578125" style="359" customWidth="1"/>
    <col min="11" max="11" width="17.85546875" style="359" customWidth="1"/>
    <col min="12" max="16" width="11.42578125" style="359" customWidth="1"/>
    <col min="17" max="16384" width="9.140625" style="359"/>
  </cols>
  <sheetData>
    <row r="1" spans="1:16" ht="15.75" thickBot="1">
      <c r="B1" s="360"/>
      <c r="C1" s="360"/>
      <c r="D1" s="360"/>
      <c r="E1" s="361"/>
      <c r="F1" s="361"/>
      <c r="G1" s="361"/>
      <c r="H1" s="360"/>
      <c r="I1" s="360"/>
      <c r="J1" s="360"/>
      <c r="K1" s="360"/>
      <c r="L1" s="360"/>
    </row>
    <row r="2" spans="1:16" ht="66.75" customHeight="1">
      <c r="A2" s="360"/>
      <c r="B2" s="360"/>
      <c r="C2" s="360"/>
      <c r="D2" s="360"/>
      <c r="E2" s="360"/>
      <c r="F2" s="360"/>
      <c r="G2" s="360"/>
      <c r="H2" s="360"/>
      <c r="I2" s="360"/>
      <c r="J2" s="360"/>
      <c r="K2" s="379" t="s">
        <v>249</v>
      </c>
      <c r="L2" s="379" t="s">
        <v>250</v>
      </c>
      <c r="M2" s="379" t="s">
        <v>251</v>
      </c>
      <c r="N2" s="379" t="s">
        <v>252</v>
      </c>
      <c r="O2" s="379" t="s">
        <v>253</v>
      </c>
      <c r="P2" s="379" t="s">
        <v>254</v>
      </c>
    </row>
    <row r="3" spans="1:16">
      <c r="A3" s="360"/>
      <c r="B3" s="362" t="s">
        <v>238</v>
      </c>
      <c r="C3" s="363"/>
      <c r="D3" s="360"/>
      <c r="E3" s="360"/>
      <c r="F3" s="360"/>
      <c r="G3" s="363"/>
      <c r="K3" s="41" t="s">
        <v>255</v>
      </c>
      <c r="L3" s="101">
        <v>1.2</v>
      </c>
      <c r="M3" s="101">
        <v>0.5</v>
      </c>
      <c r="N3" s="101">
        <v>0.7</v>
      </c>
      <c r="O3" s="101">
        <v>2</v>
      </c>
      <c r="P3" s="380">
        <f t="shared" ref="P3:P13" si="0">O3^2*3.1415/4*3.2*N3/12*7.48</f>
        <v>4.3863717333333341</v>
      </c>
    </row>
    <row r="4" spans="1:16" ht="15.75">
      <c r="A4" s="360"/>
      <c r="B4" s="362"/>
      <c r="C4" s="363"/>
      <c r="D4" s="360"/>
      <c r="F4" s="364" t="s">
        <v>244</v>
      </c>
      <c r="G4" s="377">
        <v>5.7</v>
      </c>
      <c r="H4" s="376" t="s">
        <v>12</v>
      </c>
      <c r="K4" s="41" t="s">
        <v>256</v>
      </c>
      <c r="L4" s="101">
        <v>1.9</v>
      </c>
      <c r="M4" s="101">
        <v>0.8</v>
      </c>
      <c r="N4" s="101">
        <v>1.1000000000000001</v>
      </c>
      <c r="O4" s="101">
        <v>3</v>
      </c>
      <c r="P4" s="380">
        <f t="shared" si="0"/>
        <v>15.508957200000003</v>
      </c>
    </row>
    <row r="5" spans="1:16">
      <c r="B5" s="360"/>
      <c r="C5" s="360"/>
      <c r="D5" s="360"/>
      <c r="E5" s="360"/>
      <c r="F5" s="360"/>
      <c r="G5" s="360"/>
      <c r="K5" s="41" t="s">
        <v>257</v>
      </c>
      <c r="L5" s="101">
        <v>2.5</v>
      </c>
      <c r="M5" s="101">
        <v>1.1000000000000001</v>
      </c>
      <c r="N5" s="101">
        <v>1.4</v>
      </c>
      <c r="O5" s="101">
        <v>4</v>
      </c>
      <c r="P5" s="380">
        <f t="shared" si="0"/>
        <v>35.090973866666673</v>
      </c>
    </row>
    <row r="6" spans="1:16" ht="15.75" thickBot="1">
      <c r="B6" s="360"/>
      <c r="C6" s="360"/>
      <c r="D6" s="360"/>
      <c r="E6" s="360"/>
      <c r="F6" s="360"/>
      <c r="G6" s="360"/>
      <c r="K6" s="41" t="s">
        <v>258</v>
      </c>
      <c r="L6" s="101">
        <v>3.2</v>
      </c>
      <c r="M6" s="101">
        <v>1.4</v>
      </c>
      <c r="N6" s="101">
        <v>1.8</v>
      </c>
      <c r="O6" s="101">
        <v>5</v>
      </c>
      <c r="P6" s="380">
        <f t="shared" si="0"/>
        <v>70.495260000000016</v>
      </c>
    </row>
    <row r="7" spans="1:16" ht="16.5" thickBot="1">
      <c r="B7" s="360"/>
      <c r="C7" s="360"/>
      <c r="D7" s="360"/>
      <c r="E7" s="360"/>
      <c r="F7" s="360"/>
      <c r="G7" s="360"/>
      <c r="K7" s="391" t="s">
        <v>259</v>
      </c>
      <c r="L7" s="392">
        <v>3.6</v>
      </c>
      <c r="M7" s="392">
        <v>1.8</v>
      </c>
      <c r="N7" s="392">
        <v>1.8</v>
      </c>
      <c r="O7" s="393">
        <v>6</v>
      </c>
      <c r="P7" s="394">
        <f t="shared" si="0"/>
        <v>101.51317440000001</v>
      </c>
    </row>
    <row r="8" spans="1:16">
      <c r="B8" s="360"/>
      <c r="C8" s="360"/>
      <c r="D8" s="360"/>
      <c r="E8" s="360"/>
      <c r="F8" s="360"/>
      <c r="G8" s="360"/>
      <c r="K8" s="41" t="s">
        <v>260</v>
      </c>
      <c r="L8" s="101">
        <v>3.5</v>
      </c>
      <c r="M8" s="101">
        <v>2.2000000000000002</v>
      </c>
      <c r="N8" s="101">
        <v>1.3</v>
      </c>
      <c r="O8" s="101">
        <v>7</v>
      </c>
      <c r="P8" s="380">
        <f t="shared" si="0"/>
        <v>99.789956933333357</v>
      </c>
    </row>
    <row r="9" spans="1:16">
      <c r="B9" s="360"/>
      <c r="C9" s="360"/>
      <c r="D9" s="360"/>
      <c r="E9" s="360"/>
      <c r="F9" s="360"/>
      <c r="G9" s="360"/>
      <c r="K9" s="41" t="s">
        <v>261</v>
      </c>
      <c r="L9" s="101">
        <v>3.4</v>
      </c>
      <c r="M9" s="101">
        <v>1.8</v>
      </c>
      <c r="N9" s="101">
        <v>1.6</v>
      </c>
      <c r="O9" s="101">
        <v>7</v>
      </c>
      <c r="P9" s="380">
        <f t="shared" si="0"/>
        <v>122.81840853333335</v>
      </c>
    </row>
    <row r="10" spans="1:16" ht="14.25" customHeight="1" thickBot="1">
      <c r="B10" s="365" t="s">
        <v>239</v>
      </c>
      <c r="C10" s="365"/>
      <c r="D10" s="365"/>
      <c r="E10" s="365"/>
      <c r="F10" s="366"/>
      <c r="G10" s="366"/>
      <c r="H10" s="366"/>
      <c r="J10" s="360"/>
      <c r="K10" s="41" t="s">
        <v>262</v>
      </c>
      <c r="L10" s="101">
        <v>3.8</v>
      </c>
      <c r="M10" s="101">
        <v>2.2000000000000002</v>
      </c>
      <c r="N10" s="101">
        <v>1.7</v>
      </c>
      <c r="O10" s="101">
        <v>8</v>
      </c>
      <c r="P10" s="380">
        <f t="shared" si="0"/>
        <v>170.44187306666672</v>
      </c>
    </row>
    <row r="11" spans="1:16" ht="17.25" customHeight="1">
      <c r="B11" s="366"/>
      <c r="C11" s="366"/>
      <c r="D11" s="366"/>
      <c r="E11" s="366"/>
      <c r="F11" s="367" t="s">
        <v>269</v>
      </c>
      <c r="G11" s="378">
        <v>11.4</v>
      </c>
      <c r="H11" s="366" t="s">
        <v>270</v>
      </c>
      <c r="K11" s="41" t="s">
        <v>263</v>
      </c>
      <c r="L11" s="101">
        <v>4.3</v>
      </c>
      <c r="M11" s="101">
        <v>2.4</v>
      </c>
      <c r="N11" s="101">
        <v>1.9</v>
      </c>
      <c r="O11" s="101">
        <v>9</v>
      </c>
      <c r="P11" s="380">
        <f t="shared" si="0"/>
        <v>241.09378920000003</v>
      </c>
    </row>
    <row r="12" spans="1:16" ht="17.25" customHeight="1">
      <c r="B12" s="366"/>
      <c r="C12" s="366"/>
      <c r="D12" s="366"/>
      <c r="E12" s="366"/>
      <c r="F12" s="367" t="s">
        <v>246</v>
      </c>
      <c r="G12" s="378">
        <v>20</v>
      </c>
      <c r="H12" s="366" t="s">
        <v>247</v>
      </c>
      <c r="K12" s="41" t="s">
        <v>264</v>
      </c>
      <c r="L12" s="101">
        <v>4.8</v>
      </c>
      <c r="M12" s="101">
        <v>2.4</v>
      </c>
      <c r="N12" s="101">
        <v>2.4</v>
      </c>
      <c r="O12" s="101">
        <v>9</v>
      </c>
      <c r="P12" s="380">
        <f t="shared" si="0"/>
        <v>304.53952320000008</v>
      </c>
    </row>
    <row r="13" spans="1:16" ht="14.25" customHeight="1" thickBot="1">
      <c r="B13" s="366"/>
      <c r="C13" s="366"/>
      <c r="D13" s="366"/>
      <c r="E13" s="366"/>
      <c r="F13" s="367" t="s">
        <v>245</v>
      </c>
      <c r="G13" s="368">
        <v>0.6</v>
      </c>
      <c r="H13" s="366" t="s">
        <v>240</v>
      </c>
      <c r="K13" s="381" t="s">
        <v>265</v>
      </c>
      <c r="L13" s="311">
        <v>4.8</v>
      </c>
      <c r="M13" s="311">
        <v>2.6</v>
      </c>
      <c r="N13" s="311">
        <v>2.2000000000000002</v>
      </c>
      <c r="O13" s="311">
        <v>10</v>
      </c>
      <c r="P13" s="382">
        <f t="shared" si="0"/>
        <v>344.64349333333342</v>
      </c>
    </row>
    <row r="14" spans="1:16" ht="18.75" customHeight="1">
      <c r="C14" s="359" t="s">
        <v>248</v>
      </c>
      <c r="K14" s="439" t="s">
        <v>266</v>
      </c>
      <c r="L14" s="440"/>
      <c r="M14" s="440"/>
      <c r="N14" s="440"/>
      <c r="O14" s="440"/>
      <c r="P14" s="440"/>
    </row>
    <row r="15" spans="1:16" ht="21" customHeight="1">
      <c r="F15" s="367" t="s">
        <v>268</v>
      </c>
      <c r="G15" s="385">
        <v>6</v>
      </c>
      <c r="H15" s="366" t="s">
        <v>247</v>
      </c>
      <c r="K15" s="440"/>
      <c r="L15" s="440"/>
      <c r="M15" s="440"/>
      <c r="N15" s="440"/>
      <c r="O15" s="440"/>
      <c r="P15" s="440"/>
    </row>
    <row r="16" spans="1:16" ht="21" customHeight="1" thickBot="1">
      <c r="F16" s="367" t="s">
        <v>267</v>
      </c>
      <c r="G16" s="368">
        <f>G13*G12/G15</f>
        <v>2</v>
      </c>
      <c r="H16" s="366" t="s">
        <v>240</v>
      </c>
      <c r="K16" s="440"/>
      <c r="L16" s="440"/>
      <c r="M16" s="440"/>
      <c r="N16" s="440"/>
      <c r="O16" s="440"/>
      <c r="P16" s="440"/>
    </row>
    <row r="17" spans="1:24" ht="20.25" customHeight="1">
      <c r="B17" s="369" t="s">
        <v>241</v>
      </c>
      <c r="C17" s="370"/>
      <c r="D17" s="370"/>
      <c r="E17" s="370"/>
      <c r="F17" s="370"/>
      <c r="G17" s="370"/>
      <c r="H17" s="370"/>
      <c r="I17" s="371"/>
      <c r="K17" s="440"/>
      <c r="L17" s="440"/>
      <c r="M17" s="440"/>
      <c r="N17" s="440"/>
      <c r="O17" s="440"/>
      <c r="P17" s="440"/>
    </row>
    <row r="18" spans="1:24" ht="25.5" customHeight="1" thickBot="1">
      <c r="B18" s="372"/>
      <c r="C18" s="383"/>
      <c r="D18" s="383"/>
      <c r="E18" s="383"/>
      <c r="F18" s="383"/>
      <c r="G18" s="386" t="s">
        <v>272</v>
      </c>
      <c r="H18" s="384" t="s">
        <v>242</v>
      </c>
      <c r="I18" s="373" t="s">
        <v>243</v>
      </c>
      <c r="K18" s="440"/>
      <c r="L18" s="440"/>
      <c r="M18" s="440"/>
      <c r="N18" s="440"/>
      <c r="O18" s="440"/>
      <c r="P18" s="440"/>
    </row>
    <row r="19" spans="1:24" ht="24.75" customHeight="1" thickBot="1">
      <c r="B19" s="374"/>
      <c r="C19" s="375"/>
      <c r="D19" s="375"/>
      <c r="E19" s="375"/>
      <c r="F19" s="387" t="s">
        <v>271</v>
      </c>
      <c r="G19" s="388">
        <f>G11</f>
        <v>11.4</v>
      </c>
      <c r="H19" s="389">
        <f>G19/G16</f>
        <v>5.7</v>
      </c>
      <c r="I19" s="390">
        <f>H19*24</f>
        <v>136.80000000000001</v>
      </c>
    </row>
    <row r="20" spans="1:24" ht="20.45" customHeight="1">
      <c r="G20" s="395" t="s">
        <v>273</v>
      </c>
      <c r="H20" s="396">
        <f>H19*G13</f>
        <v>3.42</v>
      </c>
      <c r="Q20" s="483"/>
      <c r="R20" s="484"/>
      <c r="S20" s="484"/>
      <c r="T20" s="484"/>
      <c r="U20" s="484"/>
      <c r="V20" s="484"/>
      <c r="W20" s="484"/>
      <c r="X20" s="485"/>
    </row>
    <row r="21" spans="1:24" ht="20.45" customHeight="1">
      <c r="Q21" s="486"/>
      <c r="R21" s="487"/>
      <c r="S21" s="487"/>
      <c r="T21" s="487"/>
      <c r="U21" s="487"/>
      <c r="V21" s="487"/>
      <c r="W21" s="487"/>
      <c r="X21" s="488"/>
    </row>
    <row r="22" spans="1:24" ht="15.75" thickBot="1">
      <c r="B22" s="360"/>
      <c r="C22" s="360"/>
      <c r="D22" s="360"/>
      <c r="E22" s="361"/>
      <c r="F22" s="361"/>
      <c r="G22" s="361"/>
      <c r="H22" s="360"/>
      <c r="I22" s="360"/>
      <c r="J22" s="360"/>
      <c r="K22" s="360"/>
      <c r="L22" s="360"/>
      <c r="Q22" s="486"/>
      <c r="R22" s="487"/>
      <c r="S22" s="487"/>
      <c r="T22" s="487"/>
      <c r="U22" s="487"/>
      <c r="V22" s="487"/>
      <c r="W22" s="487"/>
      <c r="X22" s="488"/>
    </row>
    <row r="23" spans="1:24" ht="66.75" customHeight="1" thickBot="1">
      <c r="A23" s="360"/>
      <c r="B23" s="360"/>
      <c r="C23" s="360"/>
      <c r="D23" s="360"/>
      <c r="E23" s="360"/>
      <c r="F23" s="360"/>
      <c r="G23" s="360"/>
      <c r="H23" s="360"/>
      <c r="I23" s="360"/>
      <c r="J23" s="360"/>
      <c r="K23" s="379" t="s">
        <v>249</v>
      </c>
      <c r="L23" s="379" t="s">
        <v>250</v>
      </c>
      <c r="M23" s="379" t="s">
        <v>251</v>
      </c>
      <c r="N23" s="379" t="s">
        <v>252</v>
      </c>
      <c r="O23" s="379" t="s">
        <v>253</v>
      </c>
      <c r="P23" s="379" t="s">
        <v>254</v>
      </c>
      <c r="Q23" s="217"/>
      <c r="R23" s="489"/>
      <c r="S23" s="487"/>
      <c r="T23" s="490" t="s">
        <v>278</v>
      </c>
      <c r="U23" s="490" t="s">
        <v>279</v>
      </c>
      <c r="V23" s="490" t="s">
        <v>280</v>
      </c>
      <c r="W23" s="490" t="s">
        <v>281</v>
      </c>
      <c r="X23" s="488"/>
    </row>
    <row r="24" spans="1:24">
      <c r="A24" s="360"/>
      <c r="B24" s="362" t="s">
        <v>238</v>
      </c>
      <c r="C24" s="363"/>
      <c r="D24" s="360"/>
      <c r="E24" s="360"/>
      <c r="F24" s="360"/>
      <c r="G24" s="363"/>
      <c r="K24" s="41" t="s">
        <v>255</v>
      </c>
      <c r="L24" s="101">
        <v>1.2</v>
      </c>
      <c r="M24" s="101">
        <v>0.5</v>
      </c>
      <c r="N24" s="101">
        <v>0.7</v>
      </c>
      <c r="O24" s="101">
        <v>2</v>
      </c>
      <c r="P24" s="380">
        <f t="shared" ref="P24:P34" si="1">O24^2*3.1415/4*3.2*N24/12*7.48</f>
        <v>4.3863717333333341</v>
      </c>
      <c r="Q24" s="217"/>
      <c r="R24" s="489"/>
      <c r="S24" s="491" t="s">
        <v>283</v>
      </c>
      <c r="T24" s="214">
        <v>11.4</v>
      </c>
      <c r="U24" s="344">
        <v>3.42</v>
      </c>
      <c r="V24" s="344">
        <v>137</v>
      </c>
      <c r="W24" s="206">
        <v>5.7</v>
      </c>
      <c r="X24" s="488"/>
    </row>
    <row r="25" spans="1:24" ht="16.5" thickBot="1">
      <c r="A25" s="360"/>
      <c r="B25" s="362"/>
      <c r="C25" s="363"/>
      <c r="D25" s="360"/>
      <c r="H25" s="364" t="s">
        <v>275</v>
      </c>
      <c r="I25" s="398">
        <v>0.6</v>
      </c>
      <c r="K25" s="41" t="s">
        <v>256</v>
      </c>
      <c r="L25" s="101">
        <v>1.9</v>
      </c>
      <c r="M25" s="101">
        <v>0.8</v>
      </c>
      <c r="N25" s="101">
        <v>1.1000000000000001</v>
      </c>
      <c r="O25" s="101">
        <v>3</v>
      </c>
      <c r="P25" s="380">
        <f t="shared" si="1"/>
        <v>15.508957200000003</v>
      </c>
      <c r="Q25" s="217"/>
      <c r="R25" s="489"/>
      <c r="S25" s="491" t="s">
        <v>282</v>
      </c>
      <c r="T25" s="53">
        <v>3.6</v>
      </c>
      <c r="U25" s="55">
        <v>1.08</v>
      </c>
      <c r="V25" s="55">
        <v>43</v>
      </c>
      <c r="W25" s="56">
        <v>1.8</v>
      </c>
      <c r="X25" s="488"/>
    </row>
    <row r="26" spans="1:24" ht="19.5" thickBot="1">
      <c r="B26" s="360"/>
      <c r="C26" s="360"/>
      <c r="D26" s="360"/>
      <c r="E26" s="360"/>
      <c r="F26" s="360"/>
      <c r="G26" s="360"/>
      <c r="K26" s="41" t="s">
        <v>257</v>
      </c>
      <c r="L26" s="101">
        <v>2.5</v>
      </c>
      <c r="M26" s="101">
        <v>1.1000000000000001</v>
      </c>
      <c r="N26" s="101">
        <v>1.4</v>
      </c>
      <c r="O26" s="101">
        <v>4</v>
      </c>
      <c r="P26" s="380">
        <f t="shared" si="1"/>
        <v>35.090973866666673</v>
      </c>
      <c r="Q26" s="57"/>
      <c r="R26" s="58"/>
      <c r="S26" s="492" t="s">
        <v>284</v>
      </c>
      <c r="T26" s="493">
        <f>T24+T25</f>
        <v>15</v>
      </c>
      <c r="U26" s="493">
        <f t="shared" ref="U26:W26" si="2">U24+U25</f>
        <v>4.5</v>
      </c>
      <c r="V26" s="494">
        <f t="shared" si="2"/>
        <v>180</v>
      </c>
      <c r="W26" s="495">
        <f t="shared" si="2"/>
        <v>7.5</v>
      </c>
      <c r="X26" s="496"/>
    </row>
    <row r="27" spans="1:24" ht="15.75" thickBot="1">
      <c r="B27" s="360"/>
      <c r="C27" s="360"/>
      <c r="D27" s="360"/>
      <c r="E27" s="360"/>
      <c r="F27" s="360"/>
      <c r="G27" s="360"/>
      <c r="K27" s="41" t="s">
        <v>258</v>
      </c>
      <c r="L27" s="101">
        <v>3.2</v>
      </c>
      <c r="M27" s="101">
        <v>1.4</v>
      </c>
      <c r="N27" s="101">
        <v>1.8</v>
      </c>
      <c r="O27" s="101">
        <v>5</v>
      </c>
      <c r="P27" s="380">
        <f t="shared" si="1"/>
        <v>70.495260000000016</v>
      </c>
    </row>
    <row r="28" spans="1:24" ht="16.5" thickBot="1">
      <c r="B28" s="360"/>
      <c r="C28" s="360"/>
      <c r="D28" s="360"/>
      <c r="E28" s="360"/>
      <c r="F28" s="360"/>
      <c r="G28" s="360"/>
      <c r="K28" s="399" t="s">
        <v>259</v>
      </c>
      <c r="L28" s="400">
        <v>3.6</v>
      </c>
      <c r="M28" s="400">
        <v>1.8</v>
      </c>
      <c r="N28" s="401">
        <v>1.8</v>
      </c>
      <c r="O28" s="401">
        <v>6</v>
      </c>
      <c r="P28" s="402">
        <f t="shared" si="1"/>
        <v>101.51317440000001</v>
      </c>
    </row>
    <row r="29" spans="1:24">
      <c r="B29" s="360"/>
      <c r="C29" s="360"/>
      <c r="D29" s="360"/>
      <c r="E29" s="360"/>
      <c r="F29" s="360"/>
      <c r="G29" s="360"/>
      <c r="K29" s="41" t="s">
        <v>260</v>
      </c>
      <c r="L29" s="101">
        <v>3.5</v>
      </c>
      <c r="M29" s="101">
        <v>2.2000000000000002</v>
      </c>
      <c r="N29" s="101">
        <v>1.3</v>
      </c>
      <c r="O29" s="101">
        <v>7</v>
      </c>
      <c r="P29" s="380">
        <f t="shared" si="1"/>
        <v>99.789956933333357</v>
      </c>
    </row>
    <row r="30" spans="1:24">
      <c r="B30" s="360"/>
      <c r="C30" s="360"/>
      <c r="D30" s="360"/>
      <c r="E30" s="360"/>
      <c r="F30" s="360"/>
      <c r="G30" s="360"/>
      <c r="K30" s="41" t="s">
        <v>261</v>
      </c>
      <c r="L30" s="101">
        <v>3.4</v>
      </c>
      <c r="M30" s="101">
        <v>1.8</v>
      </c>
      <c r="N30" s="101">
        <v>1.6</v>
      </c>
      <c r="O30" s="101">
        <v>7</v>
      </c>
      <c r="P30" s="380">
        <f t="shared" si="1"/>
        <v>122.81840853333335</v>
      </c>
    </row>
    <row r="31" spans="1:24" ht="14.25" customHeight="1" thickBot="1">
      <c r="B31" s="365" t="s">
        <v>239</v>
      </c>
      <c r="C31" s="365"/>
      <c r="D31" s="365"/>
      <c r="E31" s="365"/>
      <c r="F31" s="366"/>
      <c r="G31" s="366"/>
      <c r="H31" s="366"/>
      <c r="J31" s="360"/>
      <c r="K31" s="41" t="s">
        <v>262</v>
      </c>
      <c r="L31" s="101">
        <v>3.8</v>
      </c>
      <c r="M31" s="101">
        <v>2.2000000000000002</v>
      </c>
      <c r="N31" s="101">
        <v>1.7</v>
      </c>
      <c r="O31" s="101">
        <v>8</v>
      </c>
      <c r="P31" s="380">
        <f t="shared" si="1"/>
        <v>170.44187306666672</v>
      </c>
    </row>
    <row r="32" spans="1:24" ht="17.25" customHeight="1">
      <c r="B32" s="366"/>
      <c r="C32" s="366"/>
      <c r="D32" s="366"/>
      <c r="E32" s="366"/>
      <c r="F32" s="367" t="s">
        <v>274</v>
      </c>
      <c r="G32" s="397">
        <v>9</v>
      </c>
      <c r="H32" s="366" t="s">
        <v>270</v>
      </c>
      <c r="K32" s="41" t="s">
        <v>263</v>
      </c>
      <c r="L32" s="101">
        <v>4.3</v>
      </c>
      <c r="M32" s="101">
        <v>2.4</v>
      </c>
      <c r="N32" s="101">
        <v>1.9</v>
      </c>
      <c r="O32" s="101">
        <v>9</v>
      </c>
      <c r="P32" s="380">
        <f t="shared" si="1"/>
        <v>241.09378920000003</v>
      </c>
    </row>
    <row r="33" spans="2:16" ht="17.25" customHeight="1">
      <c r="B33" s="366"/>
      <c r="C33" s="366"/>
      <c r="D33" s="366"/>
      <c r="E33" s="366"/>
      <c r="F33" s="367" t="s">
        <v>246</v>
      </c>
      <c r="G33" s="378">
        <v>20</v>
      </c>
      <c r="H33" s="366" t="s">
        <v>247</v>
      </c>
      <c r="K33" s="41" t="s">
        <v>264</v>
      </c>
      <c r="L33" s="101">
        <v>4.8</v>
      </c>
      <c r="M33" s="101">
        <v>2.4</v>
      </c>
      <c r="N33" s="101">
        <v>2.4</v>
      </c>
      <c r="O33" s="101">
        <v>9</v>
      </c>
      <c r="P33" s="380">
        <f t="shared" si="1"/>
        <v>304.53952320000008</v>
      </c>
    </row>
    <row r="34" spans="2:16" ht="14.25" customHeight="1" thickBot="1">
      <c r="B34" s="366"/>
      <c r="C34" s="366"/>
      <c r="D34" s="366"/>
      <c r="E34" s="366"/>
      <c r="F34" s="367" t="s">
        <v>245</v>
      </c>
      <c r="G34" s="368">
        <v>0.6</v>
      </c>
      <c r="H34" s="366" t="s">
        <v>240</v>
      </c>
      <c r="K34" s="381" t="s">
        <v>265</v>
      </c>
      <c r="L34" s="311">
        <v>4.8</v>
      </c>
      <c r="M34" s="311">
        <v>2.6</v>
      </c>
      <c r="N34" s="311">
        <v>2.2000000000000002</v>
      </c>
      <c r="O34" s="311">
        <v>10</v>
      </c>
      <c r="P34" s="382">
        <f t="shared" si="1"/>
        <v>344.64349333333342</v>
      </c>
    </row>
    <row r="35" spans="2:16" ht="18.75" customHeight="1">
      <c r="C35" s="359" t="s">
        <v>248</v>
      </c>
      <c r="K35" s="439" t="s">
        <v>266</v>
      </c>
      <c r="L35" s="440"/>
      <c r="M35" s="440"/>
      <c r="N35" s="440"/>
      <c r="O35" s="440"/>
      <c r="P35" s="440"/>
    </row>
    <row r="36" spans="2:16" ht="21" customHeight="1">
      <c r="F36" s="367" t="s">
        <v>268</v>
      </c>
      <c r="G36" s="385">
        <v>6</v>
      </c>
      <c r="H36" s="366" t="s">
        <v>247</v>
      </c>
      <c r="K36" s="440"/>
      <c r="L36" s="440"/>
      <c r="M36" s="440"/>
      <c r="N36" s="440"/>
      <c r="O36" s="440"/>
      <c r="P36" s="440"/>
    </row>
    <row r="37" spans="2:16" ht="21" customHeight="1" thickBot="1">
      <c r="F37" s="367" t="s">
        <v>267</v>
      </c>
      <c r="G37" s="368">
        <f>G34*G33/G36</f>
        <v>2</v>
      </c>
      <c r="H37" s="366" t="s">
        <v>240</v>
      </c>
      <c r="K37" s="440"/>
      <c r="L37" s="440"/>
      <c r="M37" s="440"/>
      <c r="N37" s="440"/>
      <c r="O37" s="440"/>
      <c r="P37" s="440"/>
    </row>
    <row r="38" spans="2:16" ht="20.25" customHeight="1">
      <c r="B38" s="403" t="s">
        <v>276</v>
      </c>
      <c r="C38" s="404"/>
      <c r="D38" s="404"/>
      <c r="E38" s="404"/>
      <c r="F38" s="404"/>
      <c r="G38" s="404"/>
      <c r="H38" s="404"/>
      <c r="I38" s="405"/>
      <c r="K38" s="440"/>
      <c r="L38" s="440"/>
      <c r="M38" s="440"/>
      <c r="N38" s="440"/>
      <c r="O38" s="440"/>
      <c r="P38" s="440"/>
    </row>
    <row r="39" spans="2:16" ht="25.5" customHeight="1" thickBot="1">
      <c r="B39" s="406"/>
      <c r="C39" s="407"/>
      <c r="D39" s="407"/>
      <c r="E39" s="407"/>
      <c r="F39" s="407"/>
      <c r="G39" s="408" t="s">
        <v>277</v>
      </c>
      <c r="H39" s="409" t="s">
        <v>242</v>
      </c>
      <c r="I39" s="410" t="s">
        <v>243</v>
      </c>
      <c r="K39" s="440"/>
      <c r="L39" s="440"/>
      <c r="M39" s="440"/>
      <c r="N39" s="440"/>
      <c r="O39" s="440"/>
      <c r="P39" s="440"/>
    </row>
    <row r="40" spans="2:16" ht="24.75" customHeight="1" thickBot="1">
      <c r="B40" s="411"/>
      <c r="C40" s="412"/>
      <c r="D40" s="412"/>
      <c r="E40" s="412"/>
      <c r="F40" s="413" t="s">
        <v>271</v>
      </c>
      <c r="G40" s="414">
        <f>G32-(I25*G32)</f>
        <v>3.6000000000000005</v>
      </c>
      <c r="H40" s="415">
        <f>G40/G37</f>
        <v>1.8000000000000003</v>
      </c>
      <c r="I40" s="416">
        <f>H40*24</f>
        <v>43.2</v>
      </c>
    </row>
    <row r="41" spans="2:16" ht="20.45" customHeight="1">
      <c r="G41" s="395" t="s">
        <v>273</v>
      </c>
      <c r="H41" s="396">
        <f>H40*G34</f>
        <v>1.08</v>
      </c>
    </row>
  </sheetData>
  <mergeCells count="2">
    <mergeCell ref="K14:P18"/>
    <mergeCell ref="K35:P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39"/>
  <sheetViews>
    <sheetView zoomScale="90" zoomScaleNormal="90" workbookViewId="0">
      <selection activeCell="U14" sqref="U14"/>
    </sheetView>
  </sheetViews>
  <sheetFormatPr defaultRowHeight="12.75"/>
  <cols>
    <col min="1" max="3" width="10.140625" customWidth="1"/>
    <col min="11" max="11" width="3.85546875" customWidth="1"/>
    <col min="12" max="12" width="10.85546875" customWidth="1"/>
    <col min="13" max="19" width="9" customWidth="1"/>
    <col min="20" max="20" width="11.5703125" customWidth="1"/>
    <col min="21" max="21" width="10" customWidth="1"/>
  </cols>
  <sheetData>
    <row r="1" spans="1:23" ht="61.7" customHeight="1">
      <c r="L1" s="449" t="s">
        <v>98</v>
      </c>
      <c r="M1" s="450"/>
      <c r="N1" s="450"/>
      <c r="O1" s="450"/>
      <c r="P1" s="450"/>
      <c r="Q1" s="450"/>
      <c r="R1" s="233"/>
      <c r="S1" s="337"/>
      <c r="T1" s="337"/>
      <c r="U1" s="337"/>
      <c r="V1" s="337"/>
      <c r="W1" s="338"/>
    </row>
    <row r="2" spans="1:23" ht="30.75" customHeight="1">
      <c r="A2" s="453" t="s">
        <v>55</v>
      </c>
      <c r="B2" s="454"/>
      <c r="C2" s="454"/>
      <c r="D2" s="455"/>
      <c r="E2" s="455"/>
      <c r="F2" s="455"/>
      <c r="G2" s="455"/>
      <c r="H2" s="440"/>
      <c r="I2" s="440"/>
      <c r="L2" s="460" t="s">
        <v>56</v>
      </c>
      <c r="M2" s="451" t="s">
        <v>57</v>
      </c>
      <c r="N2" s="452"/>
      <c r="O2" s="452"/>
      <c r="P2" s="452"/>
      <c r="Q2" s="452"/>
      <c r="R2" s="217"/>
      <c r="S2" s="441" t="s">
        <v>230</v>
      </c>
      <c r="T2" s="441"/>
      <c r="U2" s="441"/>
      <c r="V2" s="441"/>
      <c r="W2" s="442"/>
    </row>
    <row r="3" spans="1:23" ht="16.7" customHeight="1" thickBot="1">
      <c r="A3" s="457" t="s">
        <v>58</v>
      </c>
      <c r="B3" s="457" t="s">
        <v>59</v>
      </c>
      <c r="C3" s="154"/>
      <c r="D3" s="66"/>
      <c r="E3" s="66"/>
      <c r="F3" s="66"/>
      <c r="G3" s="66"/>
      <c r="H3" s="67"/>
      <c r="I3" s="67"/>
      <c r="L3" s="461"/>
      <c r="M3" s="81">
        <v>0.05</v>
      </c>
      <c r="N3" s="82">
        <v>0.1</v>
      </c>
      <c r="O3" s="82">
        <v>0.15</v>
      </c>
      <c r="P3" s="82">
        <v>0.2</v>
      </c>
      <c r="Q3" s="82">
        <v>0.3</v>
      </c>
      <c r="R3" s="217"/>
      <c r="S3" s="82"/>
      <c r="T3" s="339" t="s">
        <v>229</v>
      </c>
      <c r="U3" s="340"/>
      <c r="V3" s="341">
        <f xml:space="preserve"> (0.7*5 + 2.1*33)/38</f>
        <v>1.9157894736842105</v>
      </c>
      <c r="W3" s="342"/>
    </row>
    <row r="4" spans="1:23" ht="16.7" customHeight="1">
      <c r="A4" s="458"/>
      <c r="B4" s="458"/>
      <c r="C4" s="157" t="s">
        <v>123</v>
      </c>
      <c r="D4" s="66"/>
      <c r="E4" s="66"/>
      <c r="F4" s="66"/>
      <c r="G4" s="66"/>
      <c r="H4" s="67"/>
      <c r="I4" s="67"/>
      <c r="L4" s="88">
        <v>0.2</v>
      </c>
      <c r="M4" s="83">
        <f t="shared" ref="M4:Q15" si="0">$L4*(0.5158*M$3^-0.6013)</f>
        <v>0.6249145979383145</v>
      </c>
      <c r="N4" s="84">
        <f t="shared" si="0"/>
        <v>0.41191853426461444</v>
      </c>
      <c r="O4" s="84">
        <f t="shared" si="0"/>
        <v>0.32279563949508766</v>
      </c>
      <c r="P4" s="84">
        <f t="shared" si="0"/>
        <v>0.27152010759629774</v>
      </c>
      <c r="Q4" s="84">
        <f t="shared" si="0"/>
        <v>0.21277388482601978</v>
      </c>
      <c r="R4" s="217"/>
      <c r="W4" s="216"/>
    </row>
    <row r="5" spans="1:23" ht="16.7" customHeight="1" thickBot="1">
      <c r="A5" s="458"/>
      <c r="B5" s="458"/>
      <c r="C5" s="155" t="s">
        <v>120</v>
      </c>
      <c r="D5" s="66"/>
      <c r="E5" s="66"/>
      <c r="F5" s="66"/>
      <c r="G5" s="66"/>
      <c r="H5" s="67"/>
      <c r="I5" s="67"/>
      <c r="L5" s="88">
        <f>L4+0.4</f>
        <v>0.60000000000000009</v>
      </c>
      <c r="M5" s="85">
        <f t="shared" si="0"/>
        <v>1.8747437938149436</v>
      </c>
      <c r="N5" s="86">
        <f t="shared" si="0"/>
        <v>1.2357556027938434</v>
      </c>
      <c r="O5" s="86">
        <f t="shared" si="0"/>
        <v>0.96838691848526304</v>
      </c>
      <c r="P5" s="86">
        <f t="shared" si="0"/>
        <v>0.81456032278889323</v>
      </c>
      <c r="Q5" s="86">
        <f t="shared" si="0"/>
        <v>0.63832165447805933</v>
      </c>
      <c r="R5" s="217"/>
      <c r="S5" s="40" t="s">
        <v>231</v>
      </c>
      <c r="T5" s="40"/>
      <c r="U5" s="40"/>
      <c r="W5" s="216"/>
    </row>
    <row r="6" spans="1:23" ht="16.7" customHeight="1">
      <c r="A6" s="458"/>
      <c r="B6" s="458"/>
      <c r="C6" s="155" t="s">
        <v>121</v>
      </c>
      <c r="D6" s="66"/>
      <c r="E6" s="152"/>
      <c r="F6" s="66"/>
      <c r="G6" s="66"/>
      <c r="H6" s="67"/>
      <c r="I6" s="67"/>
      <c r="L6" s="88">
        <f>L5+0.4</f>
        <v>1</v>
      </c>
      <c r="M6" s="85">
        <f t="shared" si="0"/>
        <v>3.1245729896915724</v>
      </c>
      <c r="N6" s="86">
        <f t="shared" si="0"/>
        <v>2.0595926713230721</v>
      </c>
      <c r="O6" s="86">
        <f t="shared" si="0"/>
        <v>1.6139781974754381</v>
      </c>
      <c r="P6" s="86">
        <f t="shared" si="0"/>
        <v>1.3576005379814886</v>
      </c>
      <c r="Q6" s="86">
        <f t="shared" si="0"/>
        <v>1.0638694241300988</v>
      </c>
      <c r="R6" s="217"/>
      <c r="S6" s="332"/>
      <c r="T6" s="215" t="s">
        <v>232</v>
      </c>
      <c r="U6" s="333" t="s">
        <v>233</v>
      </c>
      <c r="W6" s="216"/>
    </row>
    <row r="7" spans="1:23" ht="16.7" customHeight="1" thickBot="1">
      <c r="A7" s="459"/>
      <c r="B7" s="459"/>
      <c r="C7" s="156" t="s">
        <v>122</v>
      </c>
      <c r="L7" s="88">
        <f t="shared" ref="L7:L15" si="1">L6+0.5</f>
        <v>1.5</v>
      </c>
      <c r="M7" s="85">
        <f t="shared" si="0"/>
        <v>4.6868594845373588</v>
      </c>
      <c r="N7" s="86">
        <f t="shared" si="0"/>
        <v>3.0893890069846082</v>
      </c>
      <c r="O7" s="86">
        <f t="shared" si="0"/>
        <v>2.4209672962131572</v>
      </c>
      <c r="P7" s="86">
        <f t="shared" si="0"/>
        <v>2.036400806972233</v>
      </c>
      <c r="Q7" s="86">
        <f t="shared" si="0"/>
        <v>1.5958041361951483</v>
      </c>
      <c r="R7" s="217"/>
      <c r="S7" s="334" t="s">
        <v>234</v>
      </c>
      <c r="T7" s="335">
        <f>0.3086*(3/1.92)^-1.66</f>
        <v>0.1471142284881867</v>
      </c>
      <c r="U7" s="336">
        <f>0.3086*(5/1.92)^-1.66</f>
        <v>6.3006557867827662E-2</v>
      </c>
      <c r="W7" s="216"/>
    </row>
    <row r="8" spans="1:23" ht="16.7" customHeight="1" thickBot="1">
      <c r="A8" s="132">
        <v>0.05</v>
      </c>
      <c r="B8" s="133">
        <f>1/(1-A8)</f>
        <v>1.0526315789473684</v>
      </c>
      <c r="C8" s="73">
        <v>3.2</v>
      </c>
      <c r="D8" s="52"/>
      <c r="E8" s="51"/>
      <c r="F8" s="51"/>
      <c r="L8" s="88">
        <f t="shared" si="1"/>
        <v>2</v>
      </c>
      <c r="M8" s="85">
        <f t="shared" si="0"/>
        <v>6.2491459793831448</v>
      </c>
      <c r="N8" s="86">
        <f t="shared" si="0"/>
        <v>4.1191853426461442</v>
      </c>
      <c r="O8" s="86">
        <f t="shared" si="0"/>
        <v>3.2279563949508763</v>
      </c>
      <c r="P8" s="86">
        <f t="shared" si="0"/>
        <v>2.7152010759629772</v>
      </c>
      <c r="Q8" s="86">
        <f t="shared" si="0"/>
        <v>2.1277388482601975</v>
      </c>
      <c r="R8" s="57"/>
      <c r="S8" s="58"/>
      <c r="T8" s="58"/>
      <c r="U8" s="58"/>
      <c r="V8" s="58"/>
      <c r="W8" s="343"/>
    </row>
    <row r="9" spans="1:23" ht="15.75">
      <c r="A9" s="132">
        <v>0.1</v>
      </c>
      <c r="B9" s="133">
        <f t="shared" ref="B9:B18" si="2">1/(1-A9)</f>
        <v>1.1111111111111112</v>
      </c>
      <c r="C9" s="73">
        <v>2.1</v>
      </c>
      <c r="D9" s="52"/>
      <c r="E9" s="51"/>
      <c r="F9" s="51"/>
      <c r="L9" s="88">
        <f t="shared" si="1"/>
        <v>2.5</v>
      </c>
      <c r="M9" s="85">
        <f t="shared" si="0"/>
        <v>7.8114324742289307</v>
      </c>
      <c r="N9" s="86">
        <f t="shared" si="0"/>
        <v>5.1489816783076803</v>
      </c>
      <c r="O9" s="86">
        <f t="shared" si="0"/>
        <v>4.0349454936885953</v>
      </c>
      <c r="P9" s="86">
        <f t="shared" si="0"/>
        <v>3.3940013449537214</v>
      </c>
      <c r="Q9" s="87">
        <f t="shared" si="0"/>
        <v>2.6596735603252468</v>
      </c>
    </row>
    <row r="10" spans="1:23" ht="15.75">
      <c r="A10" s="132">
        <v>0.15</v>
      </c>
      <c r="B10" s="133">
        <f t="shared" si="2"/>
        <v>1.1764705882352942</v>
      </c>
      <c r="C10" s="73">
        <v>1.6</v>
      </c>
      <c r="D10" s="52"/>
      <c r="E10" s="51"/>
      <c r="F10" s="51"/>
      <c r="L10" s="88">
        <f t="shared" si="1"/>
        <v>3</v>
      </c>
      <c r="M10" s="85">
        <f t="shared" si="0"/>
        <v>9.3737189690747176</v>
      </c>
      <c r="N10" s="86">
        <f t="shared" si="0"/>
        <v>6.1787780139692163</v>
      </c>
      <c r="O10" s="86">
        <f t="shared" si="0"/>
        <v>4.8419345924263144</v>
      </c>
      <c r="P10" s="86">
        <f t="shared" si="0"/>
        <v>4.072801613944466</v>
      </c>
      <c r="Q10" s="87">
        <f t="shared" si="0"/>
        <v>3.1916082723902965</v>
      </c>
    </row>
    <row r="11" spans="1:23" ht="15.75">
      <c r="A11" s="132">
        <v>0.2</v>
      </c>
      <c r="B11" s="133">
        <f t="shared" si="2"/>
        <v>1.25</v>
      </c>
      <c r="C11" s="73">
        <v>1.3</v>
      </c>
      <c r="D11" s="52"/>
      <c r="E11" s="51"/>
      <c r="F11" s="51"/>
      <c r="L11" s="88">
        <f t="shared" si="1"/>
        <v>3.5</v>
      </c>
      <c r="M11" s="85">
        <f t="shared" si="0"/>
        <v>10.936005463920504</v>
      </c>
      <c r="N11" s="86">
        <f t="shared" si="0"/>
        <v>7.2085743496307524</v>
      </c>
      <c r="O11" s="86">
        <f t="shared" si="0"/>
        <v>5.6489236911640335</v>
      </c>
      <c r="P11" s="86">
        <f t="shared" si="0"/>
        <v>4.7516018829352102</v>
      </c>
      <c r="Q11" s="87">
        <f t="shared" si="0"/>
        <v>3.7235429844553458</v>
      </c>
    </row>
    <row r="12" spans="1:23" ht="15.75">
      <c r="A12" s="132">
        <v>0.25</v>
      </c>
      <c r="B12" s="133">
        <f t="shared" si="2"/>
        <v>1.3333333333333333</v>
      </c>
      <c r="C12" s="73">
        <v>1.2</v>
      </c>
      <c r="D12" s="52"/>
      <c r="E12" s="51"/>
      <c r="F12" s="51"/>
      <c r="L12" s="88">
        <f t="shared" si="1"/>
        <v>4</v>
      </c>
      <c r="M12" s="85">
        <f t="shared" si="0"/>
        <v>12.49829195876629</v>
      </c>
      <c r="N12" s="86">
        <f t="shared" si="0"/>
        <v>8.2383706852922884</v>
      </c>
      <c r="O12" s="86">
        <f t="shared" si="0"/>
        <v>6.4559127899017525</v>
      </c>
      <c r="P12" s="86">
        <f t="shared" si="0"/>
        <v>5.4304021519259544</v>
      </c>
      <c r="Q12" s="87">
        <f t="shared" si="0"/>
        <v>4.2554776965203951</v>
      </c>
    </row>
    <row r="13" spans="1:23" ht="15.75">
      <c r="A13" s="132">
        <v>0.3</v>
      </c>
      <c r="B13" s="133">
        <f t="shared" si="2"/>
        <v>1.4285714285714286</v>
      </c>
      <c r="C13" s="73">
        <v>1</v>
      </c>
      <c r="D13" s="52"/>
      <c r="E13" s="51"/>
      <c r="F13" s="51"/>
      <c r="L13" s="88">
        <f t="shared" si="1"/>
        <v>4.5</v>
      </c>
      <c r="M13" s="85">
        <f t="shared" si="0"/>
        <v>14.060578453612075</v>
      </c>
      <c r="N13" s="86">
        <f t="shared" si="0"/>
        <v>9.2681670209538254</v>
      </c>
      <c r="O13" s="86">
        <f t="shared" si="0"/>
        <v>7.2629018886394716</v>
      </c>
      <c r="P13" s="86">
        <f t="shared" si="0"/>
        <v>6.1092024209166986</v>
      </c>
      <c r="Q13" s="87">
        <f t="shared" si="0"/>
        <v>4.7874124085854444</v>
      </c>
    </row>
    <row r="14" spans="1:23" ht="15.75">
      <c r="A14" s="132">
        <v>0.4</v>
      </c>
      <c r="B14" s="133">
        <f t="shared" si="2"/>
        <v>1.6666666666666667</v>
      </c>
      <c r="C14" s="73">
        <v>0.9</v>
      </c>
      <c r="D14" s="52"/>
      <c r="E14" s="51"/>
      <c r="F14" s="51"/>
      <c r="L14" s="88">
        <f t="shared" si="1"/>
        <v>5</v>
      </c>
      <c r="M14" s="85">
        <f t="shared" si="0"/>
        <v>15.622864948457861</v>
      </c>
      <c r="N14" s="86">
        <f t="shared" si="0"/>
        <v>10.297963356615361</v>
      </c>
      <c r="O14" s="86">
        <f t="shared" si="0"/>
        <v>8.0698909873771907</v>
      </c>
      <c r="P14" s="86">
        <f t="shared" si="0"/>
        <v>6.7880026899074428</v>
      </c>
      <c r="Q14" s="87">
        <f t="shared" si="0"/>
        <v>5.3193471206504936</v>
      </c>
    </row>
    <row r="15" spans="1:23" ht="16.5" thickBot="1">
      <c r="A15" s="132">
        <v>0.5</v>
      </c>
      <c r="B15" s="133">
        <f t="shared" si="2"/>
        <v>2</v>
      </c>
      <c r="C15" s="73">
        <v>0.8</v>
      </c>
      <c r="D15" s="52"/>
      <c r="E15" s="51"/>
      <c r="F15" s="51"/>
      <c r="L15" s="88">
        <f t="shared" si="1"/>
        <v>5.5</v>
      </c>
      <c r="M15" s="89">
        <f t="shared" si="0"/>
        <v>17.185151443303649</v>
      </c>
      <c r="N15" s="90">
        <f t="shared" si="0"/>
        <v>11.327759692276896</v>
      </c>
      <c r="O15" s="90">
        <f t="shared" si="0"/>
        <v>8.8768800861149089</v>
      </c>
      <c r="P15" s="90">
        <f t="shared" si="0"/>
        <v>7.466802958898187</v>
      </c>
      <c r="Q15" s="91">
        <f t="shared" si="0"/>
        <v>5.8512818327155429</v>
      </c>
    </row>
    <row r="16" spans="1:23" ht="15.75">
      <c r="A16" s="132">
        <v>0.6</v>
      </c>
      <c r="B16" s="133">
        <f t="shared" si="2"/>
        <v>2.5</v>
      </c>
      <c r="C16" s="73">
        <v>0.7</v>
      </c>
      <c r="D16" s="52"/>
      <c r="E16" s="51"/>
      <c r="F16" s="51"/>
      <c r="L16" s="124" t="s">
        <v>61</v>
      </c>
      <c r="M16" s="92"/>
      <c r="N16" s="92"/>
      <c r="O16" s="92"/>
      <c r="P16" s="92"/>
      <c r="Q16" s="93"/>
    </row>
    <row r="17" spans="1:17" ht="15.75">
      <c r="A17" s="132">
        <v>0.7</v>
      </c>
      <c r="B17" s="133">
        <f t="shared" si="2"/>
        <v>3.333333333333333</v>
      </c>
      <c r="C17" s="73">
        <v>0.65</v>
      </c>
      <c r="D17" s="52"/>
      <c r="E17" s="51"/>
      <c r="F17" s="51"/>
      <c r="L17" s="445" t="s">
        <v>128</v>
      </c>
      <c r="M17" s="433"/>
      <c r="N17" s="433"/>
      <c r="O17" s="433"/>
      <c r="P17" s="433"/>
      <c r="Q17" s="446"/>
    </row>
    <row r="18" spans="1:17" ht="15.75">
      <c r="A18" s="132">
        <v>0.8</v>
      </c>
      <c r="B18" s="133">
        <f t="shared" si="2"/>
        <v>5.0000000000000009</v>
      </c>
      <c r="C18" s="73">
        <v>0.6</v>
      </c>
      <c r="D18" s="52"/>
      <c r="E18" s="51"/>
      <c r="F18" s="51"/>
      <c r="L18" s="447"/>
      <c r="M18" s="436"/>
      <c r="N18" s="436"/>
      <c r="O18" s="436"/>
      <c r="P18" s="436"/>
      <c r="Q18" s="448"/>
    </row>
    <row r="19" spans="1:17" ht="16.7" customHeight="1">
      <c r="A19" s="456" t="s">
        <v>63</v>
      </c>
      <c r="B19" s="440"/>
      <c r="C19" s="440"/>
      <c r="D19" s="440"/>
      <c r="E19" s="440"/>
      <c r="F19" s="440"/>
      <c r="G19" s="440"/>
      <c r="H19" s="440"/>
      <c r="I19" s="440"/>
    </row>
    <row r="20" spans="1:17" ht="16.7" customHeight="1">
      <c r="A20" s="440"/>
      <c r="B20" s="440"/>
      <c r="C20" s="440"/>
      <c r="D20" s="440"/>
      <c r="E20" s="440"/>
      <c r="F20" s="440"/>
      <c r="G20" s="440"/>
      <c r="H20" s="440"/>
      <c r="I20" s="440"/>
    </row>
    <row r="21" spans="1:17" ht="16.7" customHeight="1">
      <c r="A21" s="443" t="s">
        <v>60</v>
      </c>
      <c r="B21" s="440"/>
      <c r="C21" s="440"/>
      <c r="D21" s="440"/>
      <c r="E21" s="440"/>
      <c r="F21" s="440"/>
      <c r="G21" s="440"/>
      <c r="H21" s="440"/>
      <c r="I21" s="440"/>
    </row>
    <row r="22" spans="1:17" ht="14.25" customHeight="1">
      <c r="A22" s="440"/>
      <c r="B22" s="440"/>
      <c r="C22" s="440"/>
      <c r="D22" s="440"/>
      <c r="E22" s="440"/>
      <c r="F22" s="440"/>
      <c r="G22" s="440"/>
      <c r="H22" s="440"/>
      <c r="I22" s="440"/>
    </row>
    <row r="23" spans="1:17" ht="32.25" customHeight="1">
      <c r="A23" s="444" t="s">
        <v>62</v>
      </c>
      <c r="B23" s="440"/>
      <c r="C23" s="440"/>
      <c r="D23" s="440"/>
      <c r="E23" s="440"/>
      <c r="F23" s="440"/>
      <c r="G23" s="440"/>
      <c r="H23" s="440"/>
      <c r="I23" s="440"/>
    </row>
    <row r="24" spans="1:17" ht="9.75" customHeight="1">
      <c r="A24" s="80"/>
    </row>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9" ht="30.75" customHeight="1"/>
  </sheetData>
  <mergeCells count="11">
    <mergeCell ref="S2:W2"/>
    <mergeCell ref="A21:I22"/>
    <mergeCell ref="A23:I23"/>
    <mergeCell ref="L17:Q18"/>
    <mergeCell ref="L1:Q1"/>
    <mergeCell ref="M2:Q2"/>
    <mergeCell ref="A2:I2"/>
    <mergeCell ref="A19:I20"/>
    <mergeCell ref="A3:A7"/>
    <mergeCell ref="B3:B7"/>
    <mergeCell ref="L2:L3"/>
  </mergeCells>
  <phoneticPr fontId="14" type="noConversion"/>
  <hyperlinks>
    <hyperlink ref="A2" r:id="rId1" location="2note1" display="2note1" xr:uid="{00000000-0004-0000-0400-000000000000}"/>
    <hyperlink ref="A21" r:id="rId2" display="http://www.fao.org/DOCREP/003/T0234E/T0234E00.htm" xr:uid="{00000000-0004-0000-0400-000001000000}"/>
  </hyperlinks>
  <printOptions horizontalCentered="1" verticalCentered="1"/>
  <pageMargins left="0.3" right="0.19" top="0.34" bottom="0.35" header="0.5" footer="0.5"/>
  <pageSetup orientation="portrait" horizontalDpi="200" verticalDpi="200"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24"/>
  <sheetViews>
    <sheetView zoomScale="70" zoomScaleNormal="70" workbookViewId="0">
      <selection activeCell="C8" sqref="C8"/>
    </sheetView>
  </sheetViews>
  <sheetFormatPr defaultRowHeight="12.75"/>
  <cols>
    <col min="1" max="1" width="11.85546875" customWidth="1"/>
    <col min="2" max="2" width="13.42578125" bestFit="1" customWidth="1"/>
    <col min="11" max="11" width="10.85546875" customWidth="1"/>
    <col min="12" max="18" width="9" customWidth="1"/>
  </cols>
  <sheetData>
    <row r="1" spans="1:18" ht="51" customHeight="1">
      <c r="K1" s="462" t="s">
        <v>105</v>
      </c>
      <c r="L1" s="463"/>
      <c r="M1" s="463"/>
      <c r="N1" s="463"/>
      <c r="O1" s="463"/>
      <c r="P1" s="463"/>
      <c r="Q1" s="463"/>
      <c r="R1" s="463"/>
    </row>
    <row r="2" spans="1:18" ht="30.75" customHeight="1">
      <c r="A2" s="453" t="s">
        <v>55</v>
      </c>
      <c r="B2" s="454"/>
      <c r="C2" s="454"/>
      <c r="D2" s="455"/>
      <c r="E2" s="455"/>
      <c r="F2" s="455"/>
      <c r="G2" s="455"/>
      <c r="H2" s="440"/>
      <c r="I2" s="440"/>
      <c r="K2" s="469" t="s">
        <v>56</v>
      </c>
      <c r="L2" s="279"/>
      <c r="M2" s="280"/>
      <c r="N2" s="280"/>
      <c r="O2" s="281" t="s">
        <v>104</v>
      </c>
      <c r="P2" s="280"/>
      <c r="Q2" s="280"/>
      <c r="R2" s="282"/>
    </row>
    <row r="3" spans="1:18" ht="16.7" customHeight="1" thickBot="1">
      <c r="A3" s="457" t="s">
        <v>58</v>
      </c>
      <c r="B3" s="457" t="s">
        <v>59</v>
      </c>
      <c r="C3" s="471" t="s">
        <v>106</v>
      </c>
      <c r="D3" s="66"/>
      <c r="E3" s="66"/>
      <c r="F3" s="66"/>
      <c r="G3" s="66"/>
      <c r="H3" s="67"/>
      <c r="I3" s="67"/>
      <c r="K3" s="470"/>
      <c r="L3" s="283">
        <v>1</v>
      </c>
      <c r="M3" s="284">
        <v>2</v>
      </c>
      <c r="N3" s="284">
        <v>3</v>
      </c>
      <c r="O3" s="284">
        <v>4</v>
      </c>
      <c r="P3" s="284">
        <v>5</v>
      </c>
      <c r="Q3" s="284">
        <v>6</v>
      </c>
      <c r="R3" s="285">
        <v>7</v>
      </c>
    </row>
    <row r="4" spans="1:18" ht="16.7" customHeight="1">
      <c r="A4" s="458"/>
      <c r="B4" s="458"/>
      <c r="C4" s="471"/>
      <c r="D4" s="66"/>
      <c r="E4" s="66"/>
      <c r="F4" s="66"/>
      <c r="G4" s="66"/>
      <c r="H4" s="67"/>
      <c r="I4" s="67"/>
      <c r="K4" s="286">
        <v>0.1</v>
      </c>
      <c r="L4" s="68">
        <f>0.3086*(L$3/$K4)^-1.66</f>
        <v>6.751432371508318E-3</v>
      </c>
      <c r="M4" s="69"/>
      <c r="N4" s="69"/>
      <c r="O4" s="69"/>
      <c r="P4" s="69"/>
      <c r="Q4" s="69"/>
      <c r="R4" s="70"/>
    </row>
    <row r="5" spans="1:18" ht="16.7" customHeight="1">
      <c r="A5" s="458"/>
      <c r="B5" s="458"/>
      <c r="C5" s="471"/>
      <c r="D5" s="66"/>
      <c r="E5" s="66"/>
      <c r="F5" s="66"/>
      <c r="G5" s="66"/>
      <c r="H5" s="67"/>
      <c r="I5" s="67"/>
      <c r="K5" s="286">
        <v>0.4</v>
      </c>
      <c r="L5" s="71">
        <f t="shared" ref="L5:R20" si="0">0.3086*(L$3/$K5)^-1.66</f>
        <v>6.7424154225576738E-2</v>
      </c>
      <c r="M5" s="64">
        <f>0.306*(M$3/$K5)^-1.66</f>
        <v>2.1155886056376558E-2</v>
      </c>
      <c r="N5" s="64">
        <f t="shared" si="0"/>
        <v>1.0884142634752202E-2</v>
      </c>
      <c r="O5" s="64">
        <f t="shared" si="0"/>
        <v>6.751432371508318E-3</v>
      </c>
      <c r="P5" s="64"/>
      <c r="Q5" s="64"/>
      <c r="R5" s="72"/>
    </row>
    <row r="6" spans="1:18" ht="16.7" customHeight="1">
      <c r="A6" s="458"/>
      <c r="B6" s="458"/>
      <c r="C6" s="471"/>
      <c r="D6" s="66"/>
      <c r="E6" s="66"/>
      <c r="F6" s="66"/>
      <c r="G6" s="66"/>
      <c r="H6" s="67"/>
      <c r="I6" s="67"/>
      <c r="K6" s="286">
        <f>K5+0.4</f>
        <v>0.8</v>
      </c>
      <c r="L6" s="71">
        <f t="shared" si="0"/>
        <v>0.21307146902261323</v>
      </c>
      <c r="M6" s="64">
        <f t="shared" si="0"/>
        <v>6.7424154225576738E-2</v>
      </c>
      <c r="N6" s="64">
        <f t="shared" si="0"/>
        <v>3.4395689302670979E-2</v>
      </c>
      <c r="O6" s="64">
        <f t="shared" si="0"/>
        <v>2.1335641950973223E-2</v>
      </c>
      <c r="P6" s="64">
        <f t="shared" si="0"/>
        <v>1.473109712584043E-2</v>
      </c>
      <c r="Q6" s="64">
        <f t="shared" si="0"/>
        <v>1.0884142634752202E-2</v>
      </c>
      <c r="R6" s="72">
        <f t="shared" si="0"/>
        <v>8.4267974217827942E-3</v>
      </c>
    </row>
    <row r="7" spans="1:18" ht="16.7" customHeight="1">
      <c r="A7" s="459"/>
      <c r="B7" s="459"/>
      <c r="C7" s="472"/>
      <c r="K7" s="286">
        <f t="shared" ref="K7:K20" si="1">K6+0.4</f>
        <v>1.2000000000000002</v>
      </c>
      <c r="L7" s="71">
        <f t="shared" si="0"/>
        <v>0.41767337360310658</v>
      </c>
      <c r="M7" s="64">
        <f t="shared" si="0"/>
        <v>0.13216820669098614</v>
      </c>
      <c r="N7" s="64">
        <f t="shared" si="0"/>
        <v>6.7424154225576766E-2</v>
      </c>
      <c r="O7" s="64">
        <f t="shared" si="0"/>
        <v>4.1823194783085646E-2</v>
      </c>
      <c r="P7" s="64">
        <f t="shared" si="0"/>
        <v>2.8876634969704964E-2</v>
      </c>
      <c r="Q7" s="64">
        <f t="shared" si="0"/>
        <v>2.1335641950973223E-2</v>
      </c>
      <c r="R7" s="72">
        <f t="shared" si="0"/>
        <v>1.6518630692185454E-2</v>
      </c>
    </row>
    <row r="8" spans="1:18" ht="16.7" customHeight="1">
      <c r="A8" s="134">
        <v>0.05</v>
      </c>
      <c r="B8" s="135">
        <f>1/(1-A8)</f>
        <v>1.0526315789473684</v>
      </c>
      <c r="C8" s="134">
        <v>3.2</v>
      </c>
      <c r="K8" s="286">
        <f t="shared" si="1"/>
        <v>1.6</v>
      </c>
      <c r="L8" s="71"/>
      <c r="M8" s="64">
        <f t="shared" si="0"/>
        <v>0.21307146902261323</v>
      </c>
      <c r="N8" s="64">
        <f t="shared" si="0"/>
        <v>0.10869606199650922</v>
      </c>
      <c r="O8" s="64">
        <f t="shared" si="0"/>
        <v>6.7424154225576738E-2</v>
      </c>
      <c r="P8" s="64">
        <f t="shared" si="0"/>
        <v>4.6552701193943197E-2</v>
      </c>
      <c r="Q8" s="64">
        <f t="shared" si="0"/>
        <v>3.4395689302670979E-2</v>
      </c>
      <c r="R8" s="72">
        <f t="shared" si="0"/>
        <v>2.6630072359648812E-2</v>
      </c>
    </row>
    <row r="9" spans="1:18" ht="15.75">
      <c r="A9" s="134">
        <v>0.1</v>
      </c>
      <c r="B9" s="135">
        <f t="shared" ref="B9:B18" si="2">1/(1-A9)</f>
        <v>1.1111111111111112</v>
      </c>
      <c r="C9" s="134">
        <v>2.1</v>
      </c>
      <c r="K9" s="286">
        <f t="shared" si="1"/>
        <v>2</v>
      </c>
      <c r="L9" s="71"/>
      <c r="M9" s="64">
        <f t="shared" si="0"/>
        <v>0.30859999999999999</v>
      </c>
      <c r="N9" s="64">
        <f t="shared" si="0"/>
        <v>0.15742888940500413</v>
      </c>
      <c r="O9" s="64">
        <f t="shared" si="0"/>
        <v>9.7653121224807099E-2</v>
      </c>
      <c r="P9" s="64">
        <f t="shared" si="0"/>
        <v>6.7424154225576738E-2</v>
      </c>
      <c r="Q9" s="64">
        <f t="shared" si="0"/>
        <v>4.9816663711450479E-2</v>
      </c>
      <c r="R9" s="72">
        <f t="shared" si="0"/>
        <v>3.8569407569604947E-2</v>
      </c>
    </row>
    <row r="10" spans="1:18" ht="15.75">
      <c r="A10" s="134">
        <v>0.15</v>
      </c>
      <c r="B10" s="135">
        <f t="shared" si="2"/>
        <v>1.1764705882352942</v>
      </c>
      <c r="C10" s="134">
        <v>1.6</v>
      </c>
      <c r="K10" s="286">
        <f t="shared" si="1"/>
        <v>2.4</v>
      </c>
      <c r="L10" s="71"/>
      <c r="M10" s="64">
        <f t="shared" si="0"/>
        <v>0.41767337360310652</v>
      </c>
      <c r="N10" s="64">
        <f t="shared" si="0"/>
        <v>0.21307146902261323</v>
      </c>
      <c r="O10" s="64">
        <f t="shared" si="0"/>
        <v>0.13216820669098608</v>
      </c>
      <c r="P10" s="64">
        <f t="shared" si="0"/>
        <v>9.1254938294662288E-2</v>
      </c>
      <c r="Q10" s="64">
        <f t="shared" si="0"/>
        <v>6.7424154225576738E-2</v>
      </c>
      <c r="R10" s="72">
        <f t="shared" si="0"/>
        <v>5.2201602648963362E-2</v>
      </c>
    </row>
    <row r="11" spans="1:18" ht="15.75">
      <c r="A11" s="134">
        <v>0.2</v>
      </c>
      <c r="B11" s="135">
        <f t="shared" si="2"/>
        <v>1.25</v>
      </c>
      <c r="C11" s="134">
        <v>1.3</v>
      </c>
      <c r="K11" s="286">
        <f t="shared" si="1"/>
        <v>2.8</v>
      </c>
      <c r="L11" s="71"/>
      <c r="M11" s="64"/>
      <c r="N11" s="64">
        <f t="shared" si="0"/>
        <v>0.27520541246708558</v>
      </c>
      <c r="O11" s="64">
        <f t="shared" si="0"/>
        <v>0.17070988436076134</v>
      </c>
      <c r="P11" s="64">
        <f t="shared" si="0"/>
        <v>0.11786586467086148</v>
      </c>
      <c r="Q11" s="64">
        <f t="shared" si="0"/>
        <v>8.7085766381631069E-2</v>
      </c>
      <c r="R11" s="72">
        <f t="shared" si="0"/>
        <v>6.7424154225576738E-2</v>
      </c>
    </row>
    <row r="12" spans="1:18" ht="15.75">
      <c r="A12" s="134">
        <v>0.25</v>
      </c>
      <c r="B12" s="135">
        <f t="shared" si="2"/>
        <v>1.3333333333333333</v>
      </c>
      <c r="C12" s="134">
        <v>1.2</v>
      </c>
      <c r="K12" s="286">
        <f t="shared" si="1"/>
        <v>3.1999999999999997</v>
      </c>
      <c r="L12" s="71"/>
      <c r="M12" s="64"/>
      <c r="N12" s="64">
        <f t="shared" si="0"/>
        <v>0.34349751765642039</v>
      </c>
      <c r="O12" s="64">
        <f t="shared" si="0"/>
        <v>0.21307146902261323</v>
      </c>
      <c r="P12" s="64">
        <f t="shared" si="0"/>
        <v>0.1471142284881867</v>
      </c>
      <c r="Q12" s="64">
        <f t="shared" si="0"/>
        <v>0.10869606199650922</v>
      </c>
      <c r="R12" s="72">
        <f t="shared" si="0"/>
        <v>8.415542920813443E-2</v>
      </c>
    </row>
    <row r="13" spans="1:18" ht="15.75">
      <c r="A13" s="134">
        <v>0.3</v>
      </c>
      <c r="B13" s="135">
        <f t="shared" si="2"/>
        <v>1.4285714285714286</v>
      </c>
      <c r="C13" s="134">
        <v>1</v>
      </c>
      <c r="K13" s="286">
        <f t="shared" si="1"/>
        <v>3.5999999999999996</v>
      </c>
      <c r="L13" s="71"/>
      <c r="M13" s="64"/>
      <c r="N13" s="64">
        <f t="shared" si="0"/>
        <v>0.41767337360310652</v>
      </c>
      <c r="O13" s="64">
        <f t="shared" si="0"/>
        <v>0.25908274357388572</v>
      </c>
      <c r="P13" s="64">
        <f t="shared" si="0"/>
        <v>0.17888250412085818</v>
      </c>
      <c r="Q13" s="64">
        <f t="shared" si="0"/>
        <v>0.13216820669098608</v>
      </c>
      <c r="R13" s="72">
        <f t="shared" si="0"/>
        <v>0.10232819807314238</v>
      </c>
    </row>
    <row r="14" spans="1:18" ht="15.75">
      <c r="A14" s="134">
        <v>0.4</v>
      </c>
      <c r="B14" s="135">
        <f t="shared" si="2"/>
        <v>1.6666666666666667</v>
      </c>
      <c r="C14" s="134">
        <v>0.9</v>
      </c>
      <c r="K14" s="286">
        <f t="shared" si="1"/>
        <v>3.9999999999999996</v>
      </c>
      <c r="L14" s="71"/>
      <c r="M14" s="64"/>
      <c r="N14" s="64"/>
      <c r="O14" s="64">
        <f t="shared" si="0"/>
        <v>0.30859999999999999</v>
      </c>
      <c r="P14" s="64">
        <f t="shared" si="0"/>
        <v>0.21307146902261317</v>
      </c>
      <c r="Q14" s="64">
        <f t="shared" si="0"/>
        <v>0.1574288894050041</v>
      </c>
      <c r="R14" s="72">
        <f t="shared" si="0"/>
        <v>0.12188570141633584</v>
      </c>
    </row>
    <row r="15" spans="1:18" ht="15.75">
      <c r="A15" s="134">
        <v>0.5</v>
      </c>
      <c r="B15" s="135">
        <f t="shared" si="2"/>
        <v>2</v>
      </c>
      <c r="C15" s="134">
        <v>0.8</v>
      </c>
      <c r="K15" s="286">
        <f t="shared" si="1"/>
        <v>4.3999999999999995</v>
      </c>
      <c r="L15" s="71"/>
      <c r="M15" s="64"/>
      <c r="N15" s="64"/>
      <c r="O15" s="64">
        <f t="shared" si="0"/>
        <v>0.36149956504542102</v>
      </c>
      <c r="P15" s="64">
        <f t="shared" si="0"/>
        <v>0.24959573355561754</v>
      </c>
      <c r="Q15" s="64">
        <f t="shared" si="0"/>
        <v>0.1844150195900606</v>
      </c>
      <c r="R15" s="72">
        <f t="shared" si="0"/>
        <v>0.14277909282975201</v>
      </c>
    </row>
    <row r="16" spans="1:18" ht="15.75">
      <c r="A16" s="134">
        <v>0.6</v>
      </c>
      <c r="B16" s="135">
        <f t="shared" si="2"/>
        <v>2.5</v>
      </c>
      <c r="C16" s="134">
        <v>0.7</v>
      </c>
      <c r="K16" s="286">
        <f t="shared" si="1"/>
        <v>4.8</v>
      </c>
      <c r="L16" s="71"/>
      <c r="M16" s="64"/>
      <c r="N16" s="64"/>
      <c r="O16" s="64">
        <f t="shared" si="0"/>
        <v>0.41767337360310652</v>
      </c>
      <c r="P16" s="64">
        <f t="shared" si="0"/>
        <v>0.2883806846573061</v>
      </c>
      <c r="Q16" s="64">
        <f t="shared" si="0"/>
        <v>0.21307146902261323</v>
      </c>
      <c r="R16" s="72">
        <f t="shared" si="0"/>
        <v>0.16496569055263099</v>
      </c>
    </row>
    <row r="17" spans="1:18" ht="15.75">
      <c r="A17" s="134">
        <v>0.7</v>
      </c>
      <c r="B17" s="135">
        <f t="shared" si="2"/>
        <v>3.333333333333333</v>
      </c>
      <c r="C17" s="134">
        <v>0.65</v>
      </c>
      <c r="K17" s="286">
        <f t="shared" si="1"/>
        <v>5.2</v>
      </c>
      <c r="L17" s="71"/>
      <c r="M17" s="64"/>
      <c r="N17" s="64"/>
      <c r="O17" s="64"/>
      <c r="P17" s="64">
        <f t="shared" si="0"/>
        <v>0.32936031167412749</v>
      </c>
      <c r="Q17" s="64">
        <f t="shared" si="0"/>
        <v>0.24334946541078664</v>
      </c>
      <c r="R17" s="72">
        <f t="shared" si="0"/>
        <v>0.18840773375830772</v>
      </c>
    </row>
    <row r="18" spans="1:18" ht="15.75">
      <c r="A18" s="134">
        <v>0.8</v>
      </c>
      <c r="B18" s="135">
        <f t="shared" si="2"/>
        <v>5.0000000000000009</v>
      </c>
      <c r="C18" s="134">
        <v>0.6</v>
      </c>
      <c r="K18" s="286">
        <f t="shared" si="1"/>
        <v>5.6000000000000005</v>
      </c>
      <c r="L18" s="71"/>
      <c r="M18" s="64"/>
      <c r="N18" s="64"/>
      <c r="O18" s="64"/>
      <c r="P18" s="64">
        <f t="shared" si="0"/>
        <v>0.37247560939391472</v>
      </c>
      <c r="Q18" s="64">
        <f t="shared" si="0"/>
        <v>0.27520541246708558</v>
      </c>
      <c r="R18" s="72">
        <f t="shared" si="0"/>
        <v>0.21307146902261331</v>
      </c>
    </row>
    <row r="19" spans="1:18" ht="16.7" customHeight="1">
      <c r="A19" s="456" t="s">
        <v>103</v>
      </c>
      <c r="B19" s="440"/>
      <c r="C19" s="440"/>
      <c r="D19" s="440"/>
      <c r="E19" s="440"/>
      <c r="F19" s="440"/>
      <c r="G19" s="440"/>
      <c r="H19" s="440"/>
      <c r="I19" s="440"/>
      <c r="K19" s="286">
        <f t="shared" si="1"/>
        <v>6.0000000000000009</v>
      </c>
      <c r="L19" s="71"/>
      <c r="M19" s="64"/>
      <c r="N19" s="64"/>
      <c r="O19" s="64"/>
      <c r="P19" s="64">
        <f t="shared" si="0"/>
        <v>0.41767337360310658</v>
      </c>
      <c r="Q19" s="64">
        <f t="shared" si="0"/>
        <v>0.30860000000000004</v>
      </c>
      <c r="R19" s="72">
        <f t="shared" si="0"/>
        <v>0.23892646133274204</v>
      </c>
    </row>
    <row r="20" spans="1:18" ht="16.7" customHeight="1" thickBot="1">
      <c r="A20" s="440"/>
      <c r="B20" s="440"/>
      <c r="C20" s="440"/>
      <c r="D20" s="440"/>
      <c r="E20" s="440"/>
      <c r="F20" s="440"/>
      <c r="G20" s="440"/>
      <c r="H20" s="440"/>
      <c r="I20" s="440"/>
      <c r="K20" s="286">
        <f t="shared" si="1"/>
        <v>6.4000000000000012</v>
      </c>
      <c r="L20" s="74"/>
      <c r="M20" s="75"/>
      <c r="N20" s="75"/>
      <c r="O20" s="75"/>
      <c r="P20" s="75"/>
      <c r="Q20" s="75">
        <f t="shared" si="0"/>
        <v>0.34349751765642061</v>
      </c>
      <c r="R20" s="76">
        <f t="shared" si="0"/>
        <v>0.26594506276808044</v>
      </c>
    </row>
    <row r="21" spans="1:18" ht="16.7" customHeight="1">
      <c r="A21" s="443" t="s">
        <v>60</v>
      </c>
      <c r="B21" s="440"/>
      <c r="C21" s="440"/>
      <c r="D21" s="440"/>
      <c r="E21" s="440"/>
      <c r="F21" s="440"/>
      <c r="G21" s="440"/>
      <c r="H21" s="440"/>
      <c r="I21" s="440"/>
      <c r="K21" s="77" t="s">
        <v>61</v>
      </c>
      <c r="R21" s="127"/>
    </row>
    <row r="22" spans="1:18" ht="14.25" customHeight="1">
      <c r="A22" s="440"/>
      <c r="B22" s="440"/>
      <c r="C22" s="440"/>
      <c r="D22" s="440"/>
      <c r="E22" s="440"/>
      <c r="F22" s="440"/>
      <c r="G22" s="440"/>
      <c r="H22" s="440"/>
      <c r="I22" s="440"/>
      <c r="K22" s="464" t="s">
        <v>127</v>
      </c>
      <c r="L22" s="465"/>
      <c r="M22" s="465"/>
      <c r="N22" s="465"/>
      <c r="O22" s="465"/>
      <c r="P22" s="465"/>
      <c r="Q22" s="465"/>
      <c r="R22" s="466"/>
    </row>
    <row r="23" spans="1:18" ht="32.25" customHeight="1">
      <c r="A23" s="444" t="s">
        <v>62</v>
      </c>
      <c r="B23" s="440"/>
      <c r="C23" s="440"/>
      <c r="D23" s="440"/>
      <c r="E23" s="440"/>
      <c r="F23" s="440"/>
      <c r="G23" s="440"/>
      <c r="H23" s="440"/>
      <c r="I23" s="440"/>
      <c r="K23" s="467"/>
      <c r="L23" s="449"/>
      <c r="M23" s="449"/>
      <c r="N23" s="449"/>
      <c r="O23" s="449"/>
      <c r="P23" s="449"/>
      <c r="Q23" s="449"/>
      <c r="R23" s="468"/>
    </row>
    <row r="24" spans="1:18" ht="9.75" customHeight="1">
      <c r="A24" s="80"/>
    </row>
  </sheetData>
  <mergeCells count="10">
    <mergeCell ref="K1:R1"/>
    <mergeCell ref="A21:I22"/>
    <mergeCell ref="A23:I23"/>
    <mergeCell ref="A2:I2"/>
    <mergeCell ref="A19:I20"/>
    <mergeCell ref="K22:R23"/>
    <mergeCell ref="K2:K3"/>
    <mergeCell ref="A3:A7"/>
    <mergeCell ref="B3:B7"/>
    <mergeCell ref="C3:C7"/>
  </mergeCells>
  <phoneticPr fontId="14" type="noConversion"/>
  <hyperlinks>
    <hyperlink ref="A2" r:id="rId1" location="2note1" display="2note1" xr:uid="{00000000-0004-0000-0500-000000000000}"/>
    <hyperlink ref="A21" r:id="rId2" display="http://www.fao.org/DOCREP/003/T0234E/T0234E00.htm" xr:uid="{00000000-0004-0000-0500-000001000000}"/>
  </hyperlinks>
  <printOptions horizontalCentered="1" verticalCentered="1"/>
  <pageMargins left="0.3" right="0.19" top="0.34" bottom="0.35" header="0.5" footer="0.5"/>
  <pageSetup orientation="portrait" horizontalDpi="200" verticalDpi="200" r:id="rId3"/>
  <headerFooter alignWithMargins="0"/>
  <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L27"/>
  <sheetViews>
    <sheetView workbookViewId="0">
      <selection sqref="A1:L27"/>
    </sheetView>
  </sheetViews>
  <sheetFormatPr defaultRowHeight="12.75"/>
  <cols>
    <col min="2" max="2" width="10.28515625" customWidth="1"/>
  </cols>
  <sheetData>
    <row r="4" spans="9:12" ht="67.900000000000006" customHeight="1">
      <c r="I4" s="67" t="s">
        <v>211</v>
      </c>
      <c r="J4" s="287" t="s">
        <v>212</v>
      </c>
      <c r="K4">
        <v>0.6</v>
      </c>
      <c r="L4" s="287" t="s">
        <v>213</v>
      </c>
    </row>
    <row r="5" spans="9:12">
      <c r="I5">
        <v>1</v>
      </c>
      <c r="J5">
        <v>0.7</v>
      </c>
      <c r="K5">
        <f>K$4/I5</f>
        <v>0.6</v>
      </c>
      <c r="L5">
        <v>0.7</v>
      </c>
    </row>
    <row r="6" spans="9:12">
      <c r="I6">
        <v>1.1000000000000001</v>
      </c>
      <c r="J6">
        <v>0.6</v>
      </c>
      <c r="K6">
        <f t="shared" ref="K6:K12" si="0">K$4/I6</f>
        <v>0.54545454545454541</v>
      </c>
      <c r="L6">
        <v>0.6</v>
      </c>
    </row>
    <row r="7" spans="9:12">
      <c r="I7">
        <v>1.3</v>
      </c>
      <c r="J7">
        <v>0.5</v>
      </c>
      <c r="K7">
        <f t="shared" si="0"/>
        <v>0.46153846153846151</v>
      </c>
      <c r="L7">
        <v>0.5</v>
      </c>
    </row>
    <row r="8" spans="9:12">
      <c r="I8">
        <v>1.5</v>
      </c>
      <c r="J8">
        <v>0.4</v>
      </c>
      <c r="K8">
        <f t="shared" si="0"/>
        <v>0.39999999999999997</v>
      </c>
      <c r="L8">
        <v>0.4</v>
      </c>
    </row>
    <row r="9" spans="9:12">
      <c r="I9">
        <v>1.9</v>
      </c>
      <c r="J9">
        <v>0.35</v>
      </c>
      <c r="K9">
        <f t="shared" si="0"/>
        <v>0.31578947368421051</v>
      </c>
      <c r="L9">
        <v>0.3</v>
      </c>
    </row>
    <row r="10" spans="9:12">
      <c r="I10">
        <v>3</v>
      </c>
      <c r="J10">
        <v>0.3</v>
      </c>
      <c r="K10">
        <f t="shared" si="0"/>
        <v>0.19999999999999998</v>
      </c>
      <c r="L10">
        <v>0.2</v>
      </c>
    </row>
    <row r="11" spans="9:12">
      <c r="I11">
        <v>4.5</v>
      </c>
      <c r="J11">
        <v>0.28000000000000003</v>
      </c>
      <c r="K11">
        <f t="shared" si="0"/>
        <v>0.13333333333333333</v>
      </c>
      <c r="L11">
        <v>0.13</v>
      </c>
    </row>
    <row r="12" spans="9:12">
      <c r="I12">
        <v>6</v>
      </c>
      <c r="J12">
        <v>0.26</v>
      </c>
      <c r="K12">
        <f t="shared" si="0"/>
        <v>9.9999999999999992E-2</v>
      </c>
      <c r="L12">
        <v>0.1</v>
      </c>
    </row>
    <row r="18" spans="2:7" ht="30" customHeight="1" thickBot="1">
      <c r="B18" s="473" t="s">
        <v>217</v>
      </c>
      <c r="C18" s="474"/>
      <c r="D18" s="474"/>
      <c r="E18" s="474"/>
      <c r="F18" s="474"/>
      <c r="G18" s="82" t="s">
        <v>216</v>
      </c>
    </row>
    <row r="19" spans="2:7">
      <c r="C19" s="307"/>
      <c r="D19" s="308" t="s">
        <v>214</v>
      </c>
      <c r="E19" s="308"/>
      <c r="F19" s="309"/>
    </row>
    <row r="20" spans="2:7" ht="13.5" thickBot="1">
      <c r="B20" s="63" t="s">
        <v>215</v>
      </c>
      <c r="C20" s="310">
        <v>0.5</v>
      </c>
      <c r="D20" s="311">
        <v>0.8</v>
      </c>
      <c r="E20" s="311">
        <v>1.5</v>
      </c>
      <c r="F20" s="312">
        <v>3</v>
      </c>
    </row>
    <row r="21" spans="2:7">
      <c r="B21" s="101">
        <v>1</v>
      </c>
      <c r="C21" s="302">
        <f t="shared" ref="C21:C27" si="1">0.6/(C$20/$B21)</f>
        <v>1.2</v>
      </c>
      <c r="D21" s="303">
        <f t="shared" ref="D21:F27" si="2">0.6/(D$20/$B21)</f>
        <v>0.74999999999999989</v>
      </c>
      <c r="E21" s="303"/>
      <c r="F21" s="304"/>
    </row>
    <row r="22" spans="2:7">
      <c r="B22" s="101">
        <v>2</v>
      </c>
      <c r="C22" s="305">
        <f t="shared" si="1"/>
        <v>2.4</v>
      </c>
      <c r="D22" s="49">
        <f t="shared" si="2"/>
        <v>1.4999999999999998</v>
      </c>
      <c r="E22" s="49">
        <f t="shared" si="2"/>
        <v>0.79999999999999993</v>
      </c>
      <c r="F22" s="149"/>
    </row>
    <row r="23" spans="2:7">
      <c r="B23" s="101">
        <v>3</v>
      </c>
      <c r="C23" s="305">
        <f t="shared" si="1"/>
        <v>3.6</v>
      </c>
      <c r="D23" s="313">
        <f t="shared" si="2"/>
        <v>2.25</v>
      </c>
      <c r="E23" s="49">
        <f t="shared" si="2"/>
        <v>1.2</v>
      </c>
      <c r="F23" s="149">
        <f t="shared" si="2"/>
        <v>0.6</v>
      </c>
    </row>
    <row r="24" spans="2:7">
      <c r="B24" s="101">
        <v>4</v>
      </c>
      <c r="C24" s="305">
        <f t="shared" si="1"/>
        <v>4.8</v>
      </c>
      <c r="D24" s="49">
        <f t="shared" si="2"/>
        <v>2.9999999999999996</v>
      </c>
      <c r="E24" s="49">
        <f t="shared" si="2"/>
        <v>1.5999999999999999</v>
      </c>
      <c r="F24" s="149">
        <f t="shared" si="2"/>
        <v>0.79999999999999993</v>
      </c>
    </row>
    <row r="25" spans="2:7">
      <c r="B25" s="101">
        <v>5</v>
      </c>
      <c r="C25" s="305">
        <f t="shared" si="1"/>
        <v>5.9999999999999991</v>
      </c>
      <c r="D25" s="49">
        <f t="shared" si="2"/>
        <v>3.75</v>
      </c>
      <c r="E25" s="49">
        <f t="shared" si="2"/>
        <v>2</v>
      </c>
      <c r="F25" s="149">
        <f t="shared" si="2"/>
        <v>1</v>
      </c>
    </row>
    <row r="26" spans="2:7">
      <c r="B26" s="101">
        <v>6</v>
      </c>
      <c r="C26" s="305">
        <f t="shared" si="1"/>
        <v>7.2</v>
      </c>
      <c r="D26" s="49">
        <f t="shared" si="2"/>
        <v>4.5</v>
      </c>
      <c r="E26" s="49">
        <f t="shared" si="2"/>
        <v>2.4</v>
      </c>
      <c r="F26" s="149">
        <f t="shared" si="2"/>
        <v>1.2</v>
      </c>
    </row>
    <row r="27" spans="2:7" ht="13.5" thickBot="1">
      <c r="B27" s="101">
        <v>8</v>
      </c>
      <c r="C27" s="143">
        <f t="shared" si="1"/>
        <v>9.6</v>
      </c>
      <c r="D27" s="54">
        <f t="shared" si="2"/>
        <v>5.9999999999999991</v>
      </c>
      <c r="E27" s="54">
        <f t="shared" si="2"/>
        <v>3.1999999999999997</v>
      </c>
      <c r="F27" s="306">
        <f t="shared" si="2"/>
        <v>1.5999999999999999</v>
      </c>
    </row>
  </sheetData>
  <mergeCells count="1">
    <mergeCell ref="B18:F1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Infiltration Chart</vt:lpstr>
      <vt:lpstr>Conversions-SAR</vt:lpstr>
      <vt:lpstr>Calcium Amendment Equivalence-$</vt:lpstr>
      <vt:lpstr>Leaching Calcs</vt:lpstr>
      <vt:lpstr>SALINITY TRIAL EXAMPLE</vt:lpstr>
      <vt:lpstr>SALINITY RUNTIME EXAMPLE</vt:lpstr>
      <vt:lpstr>Final Rootzone ECe by LF</vt:lpstr>
      <vt:lpstr>Needed Leaching Fraction</vt:lpstr>
      <vt:lpstr>Boron Leaching</vt:lpstr>
      <vt:lpstr>Several LF Calcs for deep perc</vt:lpstr>
      <vt:lpstr>FAO29 Lchng Sectn</vt:lpstr>
      <vt:lpstr>Example Waters</vt:lpstr>
      <vt:lpstr>'Final Rootzone ECe by LF'!Print_Area</vt:lpstr>
      <vt:lpstr>'Leaching Calcs'!Print_Area</vt:lpstr>
      <vt:lpstr>'Needed Leaching Fraction'!Print_Area</vt:lpstr>
      <vt:lpstr>'SALINITY TRIAL EXAMPLE'!Print_Area</vt:lpstr>
      <vt:lpstr>'Several LF Calcs for deep perc'!Print_Area</vt:lpstr>
    </vt:vector>
  </TitlesOfParts>
  <Company>UC Kearney Ag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SandenB</dc:creator>
  <cp:lastModifiedBy>Reviewer 1</cp:lastModifiedBy>
  <cp:lastPrinted>2016-03-09T20:37:31Z</cp:lastPrinted>
  <dcterms:created xsi:type="dcterms:W3CDTF">2003-01-21T20:30:31Z</dcterms:created>
  <dcterms:modified xsi:type="dcterms:W3CDTF">2024-10-23T19:46:20Z</dcterms:modified>
</cp:coreProperties>
</file>